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ämäTyökirja" defaultThemeVersion="166925"/>
  <mc:AlternateContent xmlns:mc="http://schemas.openxmlformats.org/markup-compatibility/2006">
    <mc:Choice Requires="x15">
      <x15ac:absPath xmlns:x15ac="http://schemas.microsoft.com/office/spreadsheetml/2010/11/ac" url="https://outokaira-my.sharepoint.com/personal/hannu_rinne_outokaira_fi/Documents/Vasara ja nauloja/Kustannusarviot/Kustannusarviolomakkeet_VaNa/Korjausrakentaminen/"/>
    </mc:Choice>
  </mc:AlternateContent>
  <xr:revisionPtr revIDLastSave="3" documentId="8_{F4800FE4-F8A7-4FB3-B947-24802A615029}" xr6:coauthVersionLast="47" xr6:coauthVersionMax="47" xr10:uidLastSave="{508B5161-F9DD-443C-89BF-2EB6C06D35D0}"/>
  <bookViews>
    <workbookView xWindow="-28920" yWindow="-120" windowWidth="29040" windowHeight="15720" tabRatio="760" xr2:uid="{A5CAB9C5-D6C0-4C9F-91FE-F5A2C60F963C}"/>
  </bookViews>
  <sheets>
    <sheet name="Ohje" sheetId="9" r:id="rId1"/>
    <sheet name="Hankkeen tiedot" sheetId="7" r:id="rId2"/>
    <sheet name="Kustannusarvio|Rakennusselostus" sheetId="1" r:id="rId3"/>
    <sheet name="Kustannusarvion koonti" sheetId="5" r:id="rId4"/>
    <sheet name="Talkootyön koonti" sheetId="4" r:id="rId5"/>
    <sheet name="Rakennusselostus koonti" sheetId="6" r:id="rId6"/>
  </sheets>
  <definedNames>
    <definedName name="Print_Area" localSheetId="2">'Kustannusarvio|Rakennusselostus'!$A$1:$S$211</definedName>
    <definedName name="Print_Titles" localSheetId="2">'Kustannusarvio|Rakennusselostus'!$6:$6</definedName>
    <definedName name="_xlnm.Print_Area" localSheetId="1">'Hankkeen tiedot'!$A$1:$D$34</definedName>
    <definedName name="_xlnm.Print_Area" localSheetId="2">'Kustannusarvio|Rakennusselostus'!$A$1:$T$291</definedName>
    <definedName name="_xlnm.Print_Area" localSheetId="3">'Kustannusarvion koonti'!$A:$P</definedName>
    <definedName name="_xlnm.Print_Area" localSheetId="0">Ohje!$A$1:$H$203</definedName>
    <definedName name="_xlnm.Print_Area" localSheetId="5">'Rakennusselostus koonti'!$A:$E</definedName>
    <definedName name="_xlnm.Print_Area" localSheetId="4">'Talkootyön koonti'!$A:$H</definedName>
    <definedName name="_xlnm.Print_Titles" localSheetId="2">'Kustannusarvio|Rakennusselostus'!$1:$6</definedName>
    <definedName name="_xlnm.Print_Titles" localSheetId="3">'Kustannusarvion koonti'!$11:$11</definedName>
    <definedName name="_xlnm.Print_Titles" localSheetId="5">'Rakennusselostus koonti'!$14:$14</definedName>
    <definedName name="_xlnm.Print_Titles" localSheetId="4">'Talkootyön koonti'!$6:$6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3" i="4" l="1"/>
  <c r="E124" i="4"/>
  <c r="E125" i="4"/>
  <c r="E126" i="4"/>
  <c r="E127" i="4"/>
  <c r="E128" i="4"/>
  <c r="E130" i="4"/>
  <c r="E131" i="4"/>
  <c r="E132" i="4"/>
  <c r="E133" i="4"/>
  <c r="E134" i="4"/>
  <c r="E135" i="4"/>
  <c r="E136" i="4"/>
  <c r="E137" i="4"/>
  <c r="E138" i="4"/>
  <c r="E140" i="4"/>
  <c r="E141" i="4"/>
  <c r="E142" i="4"/>
  <c r="E143" i="4"/>
  <c r="E146" i="4"/>
  <c r="E147" i="4"/>
  <c r="E148" i="4"/>
  <c r="E149" i="4"/>
  <c r="E150" i="4"/>
  <c r="E151" i="4"/>
  <c r="E152" i="4"/>
  <c r="E153" i="4"/>
  <c r="E154" i="4"/>
  <c r="E155" i="4"/>
  <c r="E156" i="4"/>
  <c r="E157" i="4"/>
  <c r="E159" i="4"/>
  <c r="E160" i="4"/>
  <c r="E161" i="4"/>
  <c r="E162" i="4"/>
  <c r="E163" i="4"/>
  <c r="E164" i="4"/>
  <c r="E165" i="4"/>
  <c r="E166" i="4"/>
  <c r="E168" i="4"/>
  <c r="E169" i="4"/>
  <c r="E170" i="4"/>
  <c r="E171" i="4"/>
  <c r="E172" i="4"/>
  <c r="E173" i="4"/>
  <c r="E176" i="4"/>
  <c r="E177" i="4"/>
  <c r="P142" i="1"/>
  <c r="P143" i="1"/>
  <c r="P144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60" i="1"/>
  <c r="P161" i="1"/>
  <c r="P162" i="1"/>
  <c r="P163" i="1"/>
  <c r="P164" i="1"/>
  <c r="P165" i="1"/>
  <c r="P166" i="1"/>
  <c r="P167" i="1"/>
  <c r="P169" i="1"/>
  <c r="P170" i="1"/>
  <c r="P171" i="1"/>
  <c r="P172" i="1"/>
  <c r="P173" i="1"/>
  <c r="P174" i="1"/>
  <c r="P175" i="1"/>
  <c r="P176" i="1"/>
  <c r="P177" i="1"/>
  <c r="P178" i="1"/>
  <c r="P179" i="1"/>
  <c r="P141" i="1"/>
  <c r="B148" i="6"/>
  <c r="B147" i="6"/>
  <c r="B138" i="6"/>
  <c r="B137" i="6"/>
  <c r="B111" i="6"/>
  <c r="B105" i="6"/>
  <c r="B91" i="6"/>
  <c r="B86" i="6"/>
  <c r="B77" i="6"/>
  <c r="B65" i="6"/>
  <c r="B57" i="6"/>
  <c r="B48" i="6"/>
  <c r="B49" i="6"/>
  <c r="B47" i="6"/>
  <c r="B28" i="6"/>
  <c r="B27" i="6"/>
  <c r="B138" i="4"/>
  <c r="B137" i="4"/>
  <c r="B128" i="4"/>
  <c r="B127" i="4"/>
  <c r="B102" i="4"/>
  <c r="B96" i="4"/>
  <c r="B82" i="4"/>
  <c r="B77" i="4"/>
  <c r="B68" i="4"/>
  <c r="B56" i="4"/>
  <c r="B48" i="4"/>
  <c r="B39" i="4"/>
  <c r="B40" i="4"/>
  <c r="B38" i="4"/>
  <c r="B19" i="4"/>
  <c r="B18" i="4"/>
  <c r="B143" i="5"/>
  <c r="B142" i="5"/>
  <c r="B133" i="5"/>
  <c r="B132" i="5"/>
  <c r="B107" i="5"/>
  <c r="B101" i="5"/>
  <c r="B87" i="5"/>
  <c r="B82" i="5"/>
  <c r="B73" i="5"/>
  <c r="B61" i="5"/>
  <c r="B53" i="5"/>
  <c r="B45" i="5"/>
  <c r="B44" i="5"/>
  <c r="B43" i="5"/>
  <c r="B24" i="5"/>
  <c r="B23" i="5"/>
  <c r="N4" i="1"/>
  <c r="N3" i="1"/>
  <c r="B139" i="1" l="1"/>
  <c r="B138" i="1"/>
  <c r="B137" i="1"/>
  <c r="B136" i="1"/>
  <c r="B135" i="1"/>
  <c r="B134" i="1"/>
  <c r="B133" i="1"/>
  <c r="B132" i="1"/>
  <c r="B131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2" i="1"/>
  <c r="B101" i="1"/>
  <c r="B100" i="1"/>
  <c r="B99" i="1"/>
  <c r="B98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2" i="1"/>
  <c r="B81" i="1"/>
  <c r="B80" i="1"/>
  <c r="B79" i="1"/>
  <c r="B77" i="1"/>
  <c r="B76" i="1"/>
  <c r="B75" i="1"/>
  <c r="B74" i="1"/>
  <c r="B73" i="1"/>
  <c r="B72" i="1"/>
  <c r="B71" i="1"/>
  <c r="B70" i="1"/>
  <c r="B68" i="1"/>
  <c r="B67" i="1"/>
  <c r="B66" i="1"/>
  <c r="B65" i="1"/>
  <c r="B64" i="1"/>
  <c r="B63" i="1"/>
  <c r="B62" i="1"/>
  <c r="B61" i="1"/>
  <c r="B60" i="1"/>
  <c r="B59" i="1"/>
  <c r="B58" i="1"/>
  <c r="B56" i="1"/>
  <c r="B55" i="1"/>
  <c r="B54" i="1"/>
  <c r="B53" i="1"/>
  <c r="B52" i="1"/>
  <c r="B51" i="1"/>
  <c r="B50" i="1"/>
  <c r="B48" i="1"/>
  <c r="B47" i="1"/>
  <c r="B46" i="1"/>
  <c r="B45" i="1"/>
  <c r="B44" i="1"/>
  <c r="B43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19" i="1"/>
  <c r="B18" i="1"/>
  <c r="B17" i="1"/>
  <c r="B16" i="1"/>
  <c r="B15" i="1"/>
  <c r="B14" i="1"/>
  <c r="B13" i="1"/>
  <c r="B12" i="1"/>
  <c r="B11" i="1"/>
  <c r="B9" i="1"/>
  <c r="H128" i="1"/>
  <c r="G11" i="4" l="1"/>
  <c r="F11" i="4"/>
  <c r="D11" i="4"/>
  <c r="C11" i="4"/>
  <c r="J16" i="5"/>
  <c r="I16" i="5"/>
  <c r="H16" i="5"/>
  <c r="F16" i="5"/>
  <c r="E16" i="5"/>
  <c r="D16" i="5"/>
  <c r="C16" i="5"/>
  <c r="P11" i="1"/>
  <c r="H11" i="1"/>
  <c r="L11" i="1" s="1"/>
  <c r="H58" i="1"/>
  <c r="L58" i="1" s="1"/>
  <c r="P58" i="1"/>
  <c r="G58" i="4"/>
  <c r="F58" i="4"/>
  <c r="D58" i="4"/>
  <c r="C58" i="4"/>
  <c r="J63" i="5"/>
  <c r="I63" i="5"/>
  <c r="H63" i="5"/>
  <c r="F63" i="5"/>
  <c r="E63" i="5"/>
  <c r="D63" i="5"/>
  <c r="G63" i="5" s="1"/>
  <c r="C63" i="5"/>
  <c r="G17" i="4"/>
  <c r="F17" i="4"/>
  <c r="D17" i="4"/>
  <c r="C17" i="4"/>
  <c r="J22" i="5"/>
  <c r="I22" i="5"/>
  <c r="H22" i="5"/>
  <c r="F22" i="5"/>
  <c r="E22" i="5"/>
  <c r="D22" i="5"/>
  <c r="C22" i="5"/>
  <c r="P17" i="1"/>
  <c r="H17" i="1"/>
  <c r="L17" i="1" s="1"/>
  <c r="G22" i="5" l="1"/>
  <c r="C26" i="6"/>
  <c r="K22" i="5"/>
  <c r="E11" i="4"/>
  <c r="S11" i="1"/>
  <c r="T11" i="1" s="1" a="1"/>
  <c r="T11" i="1" s="1"/>
  <c r="D20" i="6" s="1"/>
  <c r="G16" i="5"/>
  <c r="K16" i="5" s="1"/>
  <c r="C20" i="6"/>
  <c r="E58" i="4"/>
  <c r="E17" i="4"/>
  <c r="K63" i="5"/>
  <c r="S58" i="1"/>
  <c r="T58" i="1" s="1" a="1"/>
  <c r="T58" i="1" s="1"/>
  <c r="D67" i="6" s="1"/>
  <c r="C67" i="6"/>
  <c r="S17" i="1"/>
  <c r="T17" i="1" s="1" a="1"/>
  <c r="T17" i="1" s="1"/>
  <c r="D26" i="6" s="1"/>
  <c r="H183" i="5"/>
  <c r="C111" i="5" l="1"/>
  <c r="P127" i="1"/>
  <c r="P128" i="1"/>
  <c r="P129" i="1"/>
  <c r="L128" i="1"/>
  <c r="J191" i="5"/>
  <c r="J190" i="5"/>
  <c r="J189" i="5"/>
  <c r="K203" i="5"/>
  <c r="H142" i="1"/>
  <c r="L142" i="1" s="1"/>
  <c r="C151" i="6" s="1"/>
  <c r="H143" i="1"/>
  <c r="L143" i="1" s="1"/>
  <c r="H144" i="1"/>
  <c r="L144" i="1" s="1"/>
  <c r="C153" i="6" s="1"/>
  <c r="C152" i="6" l="1"/>
  <c r="C137" i="6"/>
  <c r="S20" i="1"/>
  <c r="S21" i="1"/>
  <c r="S41" i="1"/>
  <c r="S42" i="1"/>
  <c r="S49" i="1"/>
  <c r="S57" i="1"/>
  <c r="S69" i="1"/>
  <c r="S78" i="1"/>
  <c r="S83" i="1"/>
  <c r="S97" i="1"/>
  <c r="S103" i="1"/>
  <c r="S128" i="1"/>
  <c r="S130" i="1"/>
  <c r="S140" i="1"/>
  <c r="S142" i="1"/>
  <c r="S143" i="1"/>
  <c r="S144" i="1"/>
  <c r="S145" i="1"/>
  <c r="S146" i="1"/>
  <c r="S159" i="1"/>
  <c r="S168" i="1"/>
  <c r="P110" i="1" l="1"/>
  <c r="H110" i="1"/>
  <c r="L110" i="1" s="1"/>
  <c r="K8" i="5"/>
  <c r="K7" i="5"/>
  <c r="D9" i="4"/>
  <c r="D10" i="4"/>
  <c r="D12" i="4"/>
  <c r="D13" i="4"/>
  <c r="D14" i="4"/>
  <c r="D15" i="4"/>
  <c r="D16" i="4"/>
  <c r="D18" i="4"/>
  <c r="D19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3" i="4"/>
  <c r="D44" i="4"/>
  <c r="D45" i="4"/>
  <c r="D46" i="4"/>
  <c r="D47" i="4"/>
  <c r="D48" i="4"/>
  <c r="D50" i="4"/>
  <c r="D51" i="4"/>
  <c r="D52" i="4"/>
  <c r="D53" i="4"/>
  <c r="D54" i="4"/>
  <c r="D55" i="4"/>
  <c r="D56" i="4"/>
  <c r="D59" i="4"/>
  <c r="D60" i="4"/>
  <c r="D61" i="4"/>
  <c r="D62" i="4"/>
  <c r="D63" i="4"/>
  <c r="D64" i="4"/>
  <c r="D65" i="4"/>
  <c r="D66" i="4"/>
  <c r="D67" i="4"/>
  <c r="D68" i="4"/>
  <c r="D70" i="4"/>
  <c r="D71" i="4"/>
  <c r="D72" i="4"/>
  <c r="D73" i="4"/>
  <c r="D74" i="4"/>
  <c r="D75" i="4"/>
  <c r="D76" i="4"/>
  <c r="D77" i="4"/>
  <c r="D79" i="4"/>
  <c r="D80" i="4"/>
  <c r="D81" i="4"/>
  <c r="D82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8" i="4"/>
  <c r="D99" i="4"/>
  <c r="D100" i="4"/>
  <c r="D101" i="4"/>
  <c r="D102" i="4"/>
  <c r="D104" i="4"/>
  <c r="D105" i="4"/>
  <c r="D106" i="4"/>
  <c r="D107" i="4"/>
  <c r="D108" i="4"/>
  <c r="D109" i="4"/>
  <c r="D110" i="4"/>
  <c r="D111" i="4"/>
  <c r="D112" i="4"/>
  <c r="D113" i="4"/>
  <c r="D114" i="4"/>
  <c r="D115" i="4"/>
  <c r="D116" i="4"/>
  <c r="D117" i="4"/>
  <c r="D118" i="4"/>
  <c r="D119" i="4"/>
  <c r="D120" i="4"/>
  <c r="D121" i="4"/>
  <c r="D122" i="4"/>
  <c r="D123" i="4"/>
  <c r="D124" i="4"/>
  <c r="D125" i="4"/>
  <c r="D126" i="4"/>
  <c r="D127" i="4"/>
  <c r="D128" i="4"/>
  <c r="D130" i="4"/>
  <c r="D131" i="4"/>
  <c r="D132" i="4"/>
  <c r="D133" i="4"/>
  <c r="D134" i="4"/>
  <c r="D135" i="4"/>
  <c r="D136" i="4"/>
  <c r="D137" i="4"/>
  <c r="D138" i="4"/>
  <c r="D140" i="4"/>
  <c r="D141" i="4"/>
  <c r="D142" i="4"/>
  <c r="D143" i="4"/>
  <c r="D146" i="4"/>
  <c r="D147" i="4"/>
  <c r="D148" i="4"/>
  <c r="D149" i="4"/>
  <c r="D150" i="4"/>
  <c r="D151" i="4"/>
  <c r="D152" i="4"/>
  <c r="D153" i="4"/>
  <c r="D154" i="4"/>
  <c r="D155" i="4"/>
  <c r="D156" i="4"/>
  <c r="D157" i="4"/>
  <c r="D159" i="4"/>
  <c r="D160" i="4"/>
  <c r="D161" i="4"/>
  <c r="D162" i="4"/>
  <c r="D163" i="4"/>
  <c r="D164" i="4"/>
  <c r="D165" i="4"/>
  <c r="D166" i="4"/>
  <c r="D168" i="4"/>
  <c r="D169" i="4"/>
  <c r="D170" i="4"/>
  <c r="D171" i="4"/>
  <c r="D172" i="4"/>
  <c r="D173" i="4"/>
  <c r="D174" i="4"/>
  <c r="E174" i="4" s="1"/>
  <c r="D175" i="4"/>
  <c r="D176" i="4"/>
  <c r="D177" i="4"/>
  <c r="D178" i="4"/>
  <c r="C9" i="4"/>
  <c r="C10" i="4"/>
  <c r="C12" i="4"/>
  <c r="C13" i="4"/>
  <c r="C14" i="4"/>
  <c r="E14" i="4" s="1"/>
  <c r="C15" i="4"/>
  <c r="E15" i="4" s="1"/>
  <c r="C16" i="4"/>
  <c r="C18" i="4"/>
  <c r="C19" i="4"/>
  <c r="C22" i="4"/>
  <c r="C23" i="4"/>
  <c r="C24" i="4"/>
  <c r="C25" i="4"/>
  <c r="C26" i="4"/>
  <c r="E26" i="4" s="1"/>
  <c r="C27" i="4"/>
  <c r="C28" i="4"/>
  <c r="E28" i="4" s="1"/>
  <c r="C29" i="4"/>
  <c r="C30" i="4"/>
  <c r="C31" i="4"/>
  <c r="C32" i="4"/>
  <c r="C33" i="4"/>
  <c r="E33" i="4" s="1"/>
  <c r="C34" i="4"/>
  <c r="E34" i="4" s="1"/>
  <c r="C35" i="4"/>
  <c r="C36" i="4"/>
  <c r="C37" i="4"/>
  <c r="C38" i="4"/>
  <c r="C39" i="4"/>
  <c r="C40" i="4"/>
  <c r="C43" i="4"/>
  <c r="C44" i="4"/>
  <c r="E44" i="4" s="1"/>
  <c r="C45" i="4"/>
  <c r="C46" i="4"/>
  <c r="E46" i="4" s="1"/>
  <c r="C47" i="4"/>
  <c r="E47" i="4" s="1"/>
  <c r="C48" i="4"/>
  <c r="C50" i="4"/>
  <c r="C51" i="4"/>
  <c r="C52" i="4"/>
  <c r="E52" i="4" s="1"/>
  <c r="C53" i="4"/>
  <c r="E53" i="4" s="1"/>
  <c r="C54" i="4"/>
  <c r="C55" i="4"/>
  <c r="C56" i="4"/>
  <c r="C59" i="4"/>
  <c r="C60" i="4"/>
  <c r="C61" i="4"/>
  <c r="C62" i="4"/>
  <c r="E62" i="4" s="1"/>
  <c r="C63" i="4"/>
  <c r="E63" i="4" s="1"/>
  <c r="C64" i="4"/>
  <c r="E64" i="4" s="1"/>
  <c r="C65" i="4"/>
  <c r="E65" i="4" s="1"/>
  <c r="C66" i="4"/>
  <c r="E66" i="4" s="1"/>
  <c r="C67" i="4"/>
  <c r="C68" i="4"/>
  <c r="C70" i="4"/>
  <c r="C71" i="4"/>
  <c r="C72" i="4"/>
  <c r="E72" i="4" s="1"/>
  <c r="C73" i="4"/>
  <c r="C74" i="4"/>
  <c r="C75" i="4"/>
  <c r="C76" i="4"/>
  <c r="C77" i="4"/>
  <c r="C79" i="4"/>
  <c r="C80" i="4"/>
  <c r="E80" i="4" s="1"/>
  <c r="C81" i="4"/>
  <c r="E81" i="4" s="1"/>
  <c r="C82" i="4"/>
  <c r="C84" i="4"/>
  <c r="E84" i="4" s="1"/>
  <c r="C85" i="4"/>
  <c r="E85" i="4" s="1"/>
  <c r="C86" i="4"/>
  <c r="C87" i="4"/>
  <c r="C88" i="4"/>
  <c r="C89" i="4"/>
  <c r="C90" i="4"/>
  <c r="C91" i="4"/>
  <c r="C92" i="4"/>
  <c r="C93" i="4"/>
  <c r="C94" i="4"/>
  <c r="C95" i="4"/>
  <c r="C96" i="4"/>
  <c r="C98" i="4"/>
  <c r="E98" i="4" s="1"/>
  <c r="C99" i="4"/>
  <c r="E99" i="4" s="1"/>
  <c r="C100" i="4"/>
  <c r="C101" i="4"/>
  <c r="E101" i="4" s="1"/>
  <c r="C102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E117" i="4" s="1"/>
  <c r="C118" i="4"/>
  <c r="C119" i="4"/>
  <c r="C120" i="4"/>
  <c r="C121" i="4"/>
  <c r="C122" i="4"/>
  <c r="C123" i="4"/>
  <c r="C124" i="4"/>
  <c r="C125" i="4"/>
  <c r="C126" i="4"/>
  <c r="C127" i="4"/>
  <c r="C128" i="4"/>
  <c r="C130" i="4"/>
  <c r="C131" i="4"/>
  <c r="C132" i="4"/>
  <c r="C133" i="4"/>
  <c r="C134" i="4"/>
  <c r="C135" i="4"/>
  <c r="C136" i="4"/>
  <c r="C137" i="4"/>
  <c r="C138" i="4"/>
  <c r="C140" i="4"/>
  <c r="C141" i="4"/>
  <c r="C142" i="4"/>
  <c r="C143" i="4"/>
  <c r="C146" i="4"/>
  <c r="C147" i="4"/>
  <c r="C148" i="4"/>
  <c r="C149" i="4"/>
  <c r="C150" i="4"/>
  <c r="C151" i="4"/>
  <c r="C152" i="4"/>
  <c r="C153" i="4"/>
  <c r="C154" i="4"/>
  <c r="C155" i="4"/>
  <c r="C156" i="4"/>
  <c r="C157" i="4"/>
  <c r="C159" i="4"/>
  <c r="C160" i="4"/>
  <c r="C161" i="4"/>
  <c r="C162" i="4"/>
  <c r="C163" i="4"/>
  <c r="C164" i="4"/>
  <c r="C165" i="4"/>
  <c r="C166" i="4"/>
  <c r="C168" i="4"/>
  <c r="C169" i="4"/>
  <c r="C170" i="4"/>
  <c r="C171" i="4"/>
  <c r="C172" i="4"/>
  <c r="C173" i="4"/>
  <c r="C174" i="4"/>
  <c r="C175" i="4"/>
  <c r="E175" i="4" s="1"/>
  <c r="C176" i="4"/>
  <c r="C177" i="4"/>
  <c r="C178" i="4"/>
  <c r="E178" i="4" s="1"/>
  <c r="D8" i="4"/>
  <c r="C8" i="4"/>
  <c r="J14" i="5"/>
  <c r="J15" i="5"/>
  <c r="J17" i="5"/>
  <c r="J18" i="5"/>
  <c r="J19" i="5"/>
  <c r="J20" i="5"/>
  <c r="J21" i="5"/>
  <c r="J23" i="5"/>
  <c r="J24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8" i="5"/>
  <c r="J49" i="5"/>
  <c r="J50" i="5"/>
  <c r="J51" i="5"/>
  <c r="J52" i="5"/>
  <c r="J53" i="5"/>
  <c r="J55" i="5"/>
  <c r="J56" i="5"/>
  <c r="J57" i="5"/>
  <c r="J58" i="5"/>
  <c r="J59" i="5"/>
  <c r="J60" i="5"/>
  <c r="J61" i="5"/>
  <c r="J64" i="5"/>
  <c r="J65" i="5"/>
  <c r="J66" i="5"/>
  <c r="J67" i="5"/>
  <c r="J68" i="5"/>
  <c r="J69" i="5"/>
  <c r="J70" i="5"/>
  <c r="J71" i="5"/>
  <c r="J72" i="5"/>
  <c r="J73" i="5"/>
  <c r="J75" i="5"/>
  <c r="J76" i="5"/>
  <c r="J77" i="5"/>
  <c r="J78" i="5"/>
  <c r="J79" i="5"/>
  <c r="J80" i="5"/>
  <c r="J81" i="5"/>
  <c r="J82" i="5"/>
  <c r="J84" i="5"/>
  <c r="J85" i="5"/>
  <c r="J86" i="5"/>
  <c r="J87" i="5"/>
  <c r="J89" i="5"/>
  <c r="J90" i="5"/>
  <c r="J91" i="5"/>
  <c r="J92" i="5"/>
  <c r="J93" i="5"/>
  <c r="J94" i="5"/>
  <c r="J95" i="5"/>
  <c r="J96" i="5"/>
  <c r="J97" i="5"/>
  <c r="J98" i="5"/>
  <c r="J99" i="5"/>
  <c r="J100" i="5"/>
  <c r="J101" i="5"/>
  <c r="J103" i="5"/>
  <c r="J104" i="5"/>
  <c r="J105" i="5"/>
  <c r="J106" i="5"/>
  <c r="J107" i="5"/>
  <c r="J109" i="5"/>
  <c r="J110" i="5"/>
  <c r="J111" i="5"/>
  <c r="J112" i="5"/>
  <c r="J113" i="5"/>
  <c r="J114" i="5"/>
  <c r="J115" i="5"/>
  <c r="J116" i="5"/>
  <c r="J117" i="5"/>
  <c r="J118" i="5"/>
  <c r="J119" i="5"/>
  <c r="J120" i="5"/>
  <c r="J121" i="5"/>
  <c r="J122" i="5"/>
  <c r="J123" i="5"/>
  <c r="J124" i="5"/>
  <c r="J125" i="5"/>
  <c r="J126" i="5"/>
  <c r="J127" i="5"/>
  <c r="J128" i="5"/>
  <c r="J129" i="5"/>
  <c r="J130" i="5"/>
  <c r="J131" i="5"/>
  <c r="J132" i="5"/>
  <c r="J133" i="5"/>
  <c r="J135" i="5"/>
  <c r="J136" i="5"/>
  <c r="J137" i="5"/>
  <c r="J138" i="5"/>
  <c r="J139" i="5"/>
  <c r="J140" i="5"/>
  <c r="J141" i="5"/>
  <c r="J142" i="5"/>
  <c r="J143" i="5"/>
  <c r="J145" i="5"/>
  <c r="J146" i="5"/>
  <c r="J147" i="5"/>
  <c r="J148" i="5"/>
  <c r="J151" i="5"/>
  <c r="J152" i="5"/>
  <c r="J153" i="5"/>
  <c r="J154" i="5"/>
  <c r="J155" i="5"/>
  <c r="J156" i="5"/>
  <c r="J157" i="5"/>
  <c r="J158" i="5"/>
  <c r="J159" i="5"/>
  <c r="J160" i="5"/>
  <c r="J161" i="5"/>
  <c r="J162" i="5"/>
  <c r="J164" i="5"/>
  <c r="J165" i="5"/>
  <c r="J166" i="5"/>
  <c r="J167" i="5"/>
  <c r="J168" i="5"/>
  <c r="J169" i="5"/>
  <c r="J170" i="5"/>
  <c r="J171" i="5"/>
  <c r="J173" i="5"/>
  <c r="J174" i="5"/>
  <c r="J175" i="5"/>
  <c r="J176" i="5"/>
  <c r="J177" i="5"/>
  <c r="J178" i="5"/>
  <c r="J179" i="5"/>
  <c r="J180" i="5"/>
  <c r="J181" i="5"/>
  <c r="J182" i="5"/>
  <c r="J183" i="5"/>
  <c r="J13" i="5"/>
  <c r="I14" i="5"/>
  <c r="I15" i="5"/>
  <c r="I17" i="5"/>
  <c r="I18" i="5"/>
  <c r="I19" i="5"/>
  <c r="I20" i="5"/>
  <c r="I21" i="5"/>
  <c r="I23" i="5"/>
  <c r="I24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8" i="5"/>
  <c r="I49" i="5"/>
  <c r="I50" i="5"/>
  <c r="I51" i="5"/>
  <c r="I52" i="5"/>
  <c r="I53" i="5"/>
  <c r="I55" i="5"/>
  <c r="I56" i="5"/>
  <c r="I57" i="5"/>
  <c r="I58" i="5"/>
  <c r="I59" i="5"/>
  <c r="I60" i="5"/>
  <c r="I61" i="5"/>
  <c r="I64" i="5"/>
  <c r="I65" i="5"/>
  <c r="I66" i="5"/>
  <c r="I67" i="5"/>
  <c r="I68" i="5"/>
  <c r="I69" i="5"/>
  <c r="I70" i="5"/>
  <c r="I71" i="5"/>
  <c r="I72" i="5"/>
  <c r="I73" i="5"/>
  <c r="I75" i="5"/>
  <c r="I76" i="5"/>
  <c r="I77" i="5"/>
  <c r="I78" i="5"/>
  <c r="I79" i="5"/>
  <c r="I80" i="5"/>
  <c r="I81" i="5"/>
  <c r="I82" i="5"/>
  <c r="I84" i="5"/>
  <c r="I85" i="5"/>
  <c r="I86" i="5"/>
  <c r="I87" i="5"/>
  <c r="I89" i="5"/>
  <c r="I90" i="5"/>
  <c r="I91" i="5"/>
  <c r="I92" i="5"/>
  <c r="I93" i="5"/>
  <c r="I94" i="5"/>
  <c r="I95" i="5"/>
  <c r="I96" i="5"/>
  <c r="I97" i="5"/>
  <c r="I98" i="5"/>
  <c r="I99" i="5"/>
  <c r="I100" i="5"/>
  <c r="I101" i="5"/>
  <c r="I103" i="5"/>
  <c r="I104" i="5"/>
  <c r="I105" i="5"/>
  <c r="I106" i="5"/>
  <c r="I107" i="5"/>
  <c r="I109" i="5"/>
  <c r="I110" i="5"/>
  <c r="I111" i="5"/>
  <c r="I112" i="5"/>
  <c r="I113" i="5"/>
  <c r="I114" i="5"/>
  <c r="I115" i="5"/>
  <c r="I116" i="5"/>
  <c r="I117" i="5"/>
  <c r="I118" i="5"/>
  <c r="I119" i="5"/>
  <c r="I120" i="5"/>
  <c r="I121" i="5"/>
  <c r="I122" i="5"/>
  <c r="I123" i="5"/>
  <c r="I124" i="5"/>
  <c r="I125" i="5"/>
  <c r="I126" i="5"/>
  <c r="I127" i="5"/>
  <c r="I128" i="5"/>
  <c r="I129" i="5"/>
  <c r="I130" i="5"/>
  <c r="I131" i="5"/>
  <c r="I132" i="5"/>
  <c r="I133" i="5"/>
  <c r="I135" i="5"/>
  <c r="I136" i="5"/>
  <c r="I137" i="5"/>
  <c r="I138" i="5"/>
  <c r="I139" i="5"/>
  <c r="I140" i="5"/>
  <c r="I141" i="5"/>
  <c r="I142" i="5"/>
  <c r="I143" i="5"/>
  <c r="I145" i="5"/>
  <c r="I146" i="5"/>
  <c r="I147" i="5"/>
  <c r="I148" i="5"/>
  <c r="I151" i="5"/>
  <c r="I152" i="5"/>
  <c r="I153" i="5"/>
  <c r="I154" i="5"/>
  <c r="I155" i="5"/>
  <c r="I156" i="5"/>
  <c r="I157" i="5"/>
  <c r="I158" i="5"/>
  <c r="I159" i="5"/>
  <c r="I160" i="5"/>
  <c r="I161" i="5"/>
  <c r="I162" i="5"/>
  <c r="I164" i="5"/>
  <c r="I165" i="5"/>
  <c r="I166" i="5"/>
  <c r="I167" i="5"/>
  <c r="I168" i="5"/>
  <c r="I169" i="5"/>
  <c r="I170" i="5"/>
  <c r="I171" i="5"/>
  <c r="I173" i="5"/>
  <c r="I174" i="5"/>
  <c r="I175" i="5"/>
  <c r="I176" i="5"/>
  <c r="I177" i="5"/>
  <c r="I178" i="5"/>
  <c r="I179" i="5"/>
  <c r="I180" i="5"/>
  <c r="I181" i="5"/>
  <c r="I182" i="5"/>
  <c r="I183" i="5"/>
  <c r="I13" i="5"/>
  <c r="H18" i="5"/>
  <c r="H19" i="5"/>
  <c r="H20" i="5"/>
  <c r="H21" i="5"/>
  <c r="H23" i="5"/>
  <c r="H24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8" i="5"/>
  <c r="H49" i="5"/>
  <c r="H50" i="5"/>
  <c r="H51" i="5"/>
  <c r="H52" i="5"/>
  <c r="H53" i="5"/>
  <c r="H55" i="5"/>
  <c r="H56" i="5"/>
  <c r="H57" i="5"/>
  <c r="H58" i="5"/>
  <c r="H59" i="5"/>
  <c r="H60" i="5"/>
  <c r="H61" i="5"/>
  <c r="H64" i="5"/>
  <c r="H65" i="5"/>
  <c r="H66" i="5"/>
  <c r="H67" i="5"/>
  <c r="H68" i="5"/>
  <c r="H69" i="5"/>
  <c r="H70" i="5"/>
  <c r="H71" i="5"/>
  <c r="H72" i="5"/>
  <c r="H73" i="5"/>
  <c r="H75" i="5"/>
  <c r="H76" i="5"/>
  <c r="H77" i="5"/>
  <c r="H78" i="5"/>
  <c r="H79" i="5"/>
  <c r="H80" i="5"/>
  <c r="H81" i="5"/>
  <c r="H82" i="5"/>
  <c r="H84" i="5"/>
  <c r="H85" i="5"/>
  <c r="H86" i="5"/>
  <c r="H87" i="5"/>
  <c r="H89" i="5"/>
  <c r="H90" i="5"/>
  <c r="H91" i="5"/>
  <c r="H92" i="5"/>
  <c r="H93" i="5"/>
  <c r="H94" i="5"/>
  <c r="H95" i="5"/>
  <c r="H96" i="5"/>
  <c r="H97" i="5"/>
  <c r="H98" i="5"/>
  <c r="H99" i="5"/>
  <c r="H100" i="5"/>
  <c r="H101" i="5"/>
  <c r="H103" i="5"/>
  <c r="H104" i="5"/>
  <c r="H105" i="5"/>
  <c r="H106" i="5"/>
  <c r="H107" i="5"/>
  <c r="H109" i="5"/>
  <c r="H110" i="5"/>
  <c r="H111" i="5"/>
  <c r="H112" i="5"/>
  <c r="H113" i="5"/>
  <c r="H114" i="5"/>
  <c r="H115" i="5"/>
  <c r="H116" i="5"/>
  <c r="H117" i="5"/>
  <c r="H118" i="5"/>
  <c r="H119" i="5"/>
  <c r="H120" i="5"/>
  <c r="H121" i="5"/>
  <c r="H122" i="5"/>
  <c r="H123" i="5"/>
  <c r="H124" i="5"/>
  <c r="H125" i="5"/>
  <c r="H126" i="5"/>
  <c r="H127" i="5"/>
  <c r="H128" i="5"/>
  <c r="H129" i="5"/>
  <c r="H130" i="5"/>
  <c r="H131" i="5"/>
  <c r="H132" i="5"/>
  <c r="H133" i="5"/>
  <c r="H135" i="5"/>
  <c r="H136" i="5"/>
  <c r="H137" i="5"/>
  <c r="H138" i="5"/>
  <c r="H139" i="5"/>
  <c r="H140" i="5"/>
  <c r="H141" i="5"/>
  <c r="H142" i="5"/>
  <c r="H143" i="5"/>
  <c r="H145" i="5"/>
  <c r="H146" i="5"/>
  <c r="H147" i="5"/>
  <c r="H148" i="5"/>
  <c r="H151" i="5"/>
  <c r="H152" i="5"/>
  <c r="H153" i="5"/>
  <c r="H154" i="5"/>
  <c r="H155" i="5"/>
  <c r="H156" i="5"/>
  <c r="H157" i="5"/>
  <c r="H158" i="5"/>
  <c r="H159" i="5"/>
  <c r="H160" i="5"/>
  <c r="H161" i="5"/>
  <c r="H162" i="5"/>
  <c r="H164" i="5"/>
  <c r="H165" i="5"/>
  <c r="H166" i="5"/>
  <c r="H167" i="5"/>
  <c r="H168" i="5"/>
  <c r="H169" i="5"/>
  <c r="H170" i="5"/>
  <c r="H171" i="5"/>
  <c r="H173" i="5"/>
  <c r="H174" i="5"/>
  <c r="H175" i="5"/>
  <c r="H176" i="5"/>
  <c r="H177" i="5"/>
  <c r="H178" i="5"/>
  <c r="H179" i="5"/>
  <c r="H180" i="5"/>
  <c r="H181" i="5"/>
  <c r="H182" i="5"/>
  <c r="H14" i="5"/>
  <c r="H15" i="5"/>
  <c r="H17" i="5"/>
  <c r="H13" i="5"/>
  <c r="F14" i="5"/>
  <c r="F15" i="5"/>
  <c r="F17" i="5"/>
  <c r="F18" i="5"/>
  <c r="F19" i="5"/>
  <c r="F20" i="5"/>
  <c r="F21" i="5"/>
  <c r="F23" i="5"/>
  <c r="F24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8" i="5"/>
  <c r="F49" i="5"/>
  <c r="F50" i="5"/>
  <c r="F51" i="5"/>
  <c r="F52" i="5"/>
  <c r="F53" i="5"/>
  <c r="F55" i="5"/>
  <c r="F56" i="5"/>
  <c r="F57" i="5"/>
  <c r="F58" i="5"/>
  <c r="F59" i="5"/>
  <c r="F60" i="5"/>
  <c r="F61" i="5"/>
  <c r="F64" i="5"/>
  <c r="F65" i="5"/>
  <c r="F66" i="5"/>
  <c r="F67" i="5"/>
  <c r="F68" i="5"/>
  <c r="F69" i="5"/>
  <c r="F70" i="5"/>
  <c r="F71" i="5"/>
  <c r="F72" i="5"/>
  <c r="F73" i="5"/>
  <c r="F75" i="5"/>
  <c r="F76" i="5"/>
  <c r="F77" i="5"/>
  <c r="F78" i="5"/>
  <c r="F79" i="5"/>
  <c r="F80" i="5"/>
  <c r="F81" i="5"/>
  <c r="F82" i="5"/>
  <c r="F84" i="5"/>
  <c r="F85" i="5"/>
  <c r="F86" i="5"/>
  <c r="F87" i="5"/>
  <c r="F89" i="5"/>
  <c r="F90" i="5"/>
  <c r="F91" i="5"/>
  <c r="F92" i="5"/>
  <c r="F93" i="5"/>
  <c r="F94" i="5"/>
  <c r="F95" i="5"/>
  <c r="F96" i="5"/>
  <c r="F97" i="5"/>
  <c r="F98" i="5"/>
  <c r="F99" i="5"/>
  <c r="F100" i="5"/>
  <c r="F101" i="5"/>
  <c r="F103" i="5"/>
  <c r="F104" i="5"/>
  <c r="F105" i="5"/>
  <c r="F106" i="5"/>
  <c r="F107" i="5"/>
  <c r="F109" i="5"/>
  <c r="F110" i="5"/>
  <c r="F111" i="5"/>
  <c r="F112" i="5"/>
  <c r="F113" i="5"/>
  <c r="F114" i="5"/>
  <c r="F115" i="5"/>
  <c r="F116" i="5"/>
  <c r="F117" i="5"/>
  <c r="F118" i="5"/>
  <c r="F119" i="5"/>
  <c r="F120" i="5"/>
  <c r="F121" i="5"/>
  <c r="F122" i="5"/>
  <c r="F123" i="5"/>
  <c r="F124" i="5"/>
  <c r="F125" i="5"/>
  <c r="F126" i="5"/>
  <c r="F127" i="5"/>
  <c r="F128" i="5"/>
  <c r="F129" i="5"/>
  <c r="F130" i="5"/>
  <c r="F131" i="5"/>
  <c r="F132" i="5"/>
  <c r="F133" i="5"/>
  <c r="F135" i="5"/>
  <c r="F136" i="5"/>
  <c r="F137" i="5"/>
  <c r="F138" i="5"/>
  <c r="F139" i="5"/>
  <c r="F140" i="5"/>
  <c r="F141" i="5"/>
  <c r="F142" i="5"/>
  <c r="F143" i="5"/>
  <c r="F145" i="5"/>
  <c r="F146" i="5"/>
  <c r="F147" i="5"/>
  <c r="F148" i="5"/>
  <c r="F151" i="5"/>
  <c r="F152" i="5"/>
  <c r="F153" i="5"/>
  <c r="F154" i="5"/>
  <c r="F155" i="5"/>
  <c r="F156" i="5"/>
  <c r="F157" i="5"/>
  <c r="F158" i="5"/>
  <c r="F159" i="5"/>
  <c r="F160" i="5"/>
  <c r="F161" i="5"/>
  <c r="F162" i="5"/>
  <c r="F164" i="5"/>
  <c r="F165" i="5"/>
  <c r="F166" i="5"/>
  <c r="F167" i="5"/>
  <c r="F168" i="5"/>
  <c r="F169" i="5"/>
  <c r="F170" i="5"/>
  <c r="F171" i="5"/>
  <c r="F173" i="5"/>
  <c r="F174" i="5"/>
  <c r="F175" i="5"/>
  <c r="F176" i="5"/>
  <c r="F177" i="5"/>
  <c r="F178" i="5"/>
  <c r="F179" i="5"/>
  <c r="F180" i="5"/>
  <c r="F181" i="5"/>
  <c r="F182" i="5"/>
  <c r="F183" i="5"/>
  <c r="F13" i="5"/>
  <c r="E14" i="5"/>
  <c r="E15" i="5"/>
  <c r="E17" i="5"/>
  <c r="E18" i="5"/>
  <c r="E19" i="5"/>
  <c r="E20" i="5"/>
  <c r="E21" i="5"/>
  <c r="E23" i="5"/>
  <c r="E24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8" i="5"/>
  <c r="E49" i="5"/>
  <c r="E50" i="5"/>
  <c r="E51" i="5"/>
  <c r="E52" i="5"/>
  <c r="E53" i="5"/>
  <c r="E55" i="5"/>
  <c r="E56" i="5"/>
  <c r="E57" i="5"/>
  <c r="E58" i="5"/>
  <c r="E59" i="5"/>
  <c r="E60" i="5"/>
  <c r="E61" i="5"/>
  <c r="E64" i="5"/>
  <c r="E65" i="5"/>
  <c r="E66" i="5"/>
  <c r="E67" i="5"/>
  <c r="E68" i="5"/>
  <c r="E69" i="5"/>
  <c r="E70" i="5"/>
  <c r="E71" i="5"/>
  <c r="E72" i="5"/>
  <c r="E73" i="5"/>
  <c r="E75" i="5"/>
  <c r="E76" i="5"/>
  <c r="E77" i="5"/>
  <c r="E78" i="5"/>
  <c r="E79" i="5"/>
  <c r="E80" i="5"/>
  <c r="E81" i="5"/>
  <c r="E82" i="5"/>
  <c r="E84" i="5"/>
  <c r="E85" i="5"/>
  <c r="E86" i="5"/>
  <c r="E87" i="5"/>
  <c r="E89" i="5"/>
  <c r="E90" i="5"/>
  <c r="E91" i="5"/>
  <c r="E92" i="5"/>
  <c r="E93" i="5"/>
  <c r="E94" i="5"/>
  <c r="E95" i="5"/>
  <c r="E96" i="5"/>
  <c r="E97" i="5"/>
  <c r="E98" i="5"/>
  <c r="E99" i="5"/>
  <c r="E100" i="5"/>
  <c r="E101" i="5"/>
  <c r="E103" i="5"/>
  <c r="E104" i="5"/>
  <c r="E105" i="5"/>
  <c r="E106" i="5"/>
  <c r="E107" i="5"/>
  <c r="E109" i="5"/>
  <c r="E110" i="5"/>
  <c r="E111" i="5"/>
  <c r="E112" i="5"/>
  <c r="E113" i="5"/>
  <c r="E114" i="5"/>
  <c r="E115" i="5"/>
  <c r="E116" i="5"/>
  <c r="E117" i="5"/>
  <c r="E118" i="5"/>
  <c r="E119" i="5"/>
  <c r="E120" i="5"/>
  <c r="E121" i="5"/>
  <c r="E122" i="5"/>
  <c r="E123" i="5"/>
  <c r="E124" i="5"/>
  <c r="E125" i="5"/>
  <c r="E126" i="5"/>
  <c r="E127" i="5"/>
  <c r="E128" i="5"/>
  <c r="E129" i="5"/>
  <c r="E130" i="5"/>
  <c r="E131" i="5"/>
  <c r="E132" i="5"/>
  <c r="E133" i="5"/>
  <c r="E135" i="5"/>
  <c r="E136" i="5"/>
  <c r="E137" i="5"/>
  <c r="E138" i="5"/>
  <c r="E139" i="5"/>
  <c r="E140" i="5"/>
  <c r="E141" i="5"/>
  <c r="E142" i="5"/>
  <c r="E143" i="5"/>
  <c r="E145" i="5"/>
  <c r="E146" i="5"/>
  <c r="E147" i="5"/>
  <c r="E148" i="5"/>
  <c r="E151" i="5"/>
  <c r="E152" i="5"/>
  <c r="E153" i="5"/>
  <c r="E154" i="5"/>
  <c r="E155" i="5"/>
  <c r="E156" i="5"/>
  <c r="E157" i="5"/>
  <c r="E158" i="5"/>
  <c r="E159" i="5"/>
  <c r="E160" i="5"/>
  <c r="E161" i="5"/>
  <c r="E162" i="5"/>
  <c r="E164" i="5"/>
  <c r="E165" i="5"/>
  <c r="E166" i="5"/>
  <c r="E167" i="5"/>
  <c r="E168" i="5"/>
  <c r="E169" i="5"/>
  <c r="E170" i="5"/>
  <c r="E171" i="5"/>
  <c r="E173" i="5"/>
  <c r="E174" i="5"/>
  <c r="E175" i="5"/>
  <c r="E176" i="5"/>
  <c r="E177" i="5"/>
  <c r="E178" i="5"/>
  <c r="E179" i="5"/>
  <c r="E180" i="5"/>
  <c r="E181" i="5"/>
  <c r="E182" i="5"/>
  <c r="E183" i="5"/>
  <c r="E13" i="5"/>
  <c r="D14" i="5"/>
  <c r="D15" i="5"/>
  <c r="D17" i="5"/>
  <c r="D18" i="5"/>
  <c r="D19" i="5"/>
  <c r="D20" i="5"/>
  <c r="D21" i="5"/>
  <c r="D23" i="5"/>
  <c r="D24" i="5"/>
  <c r="D27" i="5"/>
  <c r="D28" i="5"/>
  <c r="G28" i="5" s="1"/>
  <c r="D29" i="5"/>
  <c r="G29" i="5" s="1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G44" i="5" s="1"/>
  <c r="D45" i="5"/>
  <c r="G45" i="5" s="1"/>
  <c r="D48" i="5"/>
  <c r="D49" i="5"/>
  <c r="D50" i="5"/>
  <c r="D51" i="5"/>
  <c r="D52" i="5"/>
  <c r="D53" i="5"/>
  <c r="D55" i="5"/>
  <c r="D56" i="5"/>
  <c r="D57" i="5"/>
  <c r="D58" i="5"/>
  <c r="D59" i="5"/>
  <c r="D60" i="5"/>
  <c r="D61" i="5"/>
  <c r="D64" i="5"/>
  <c r="D65" i="5"/>
  <c r="D66" i="5"/>
  <c r="D67" i="5"/>
  <c r="D68" i="5"/>
  <c r="D69" i="5"/>
  <c r="D70" i="5"/>
  <c r="D71" i="5"/>
  <c r="D72" i="5"/>
  <c r="D73" i="5"/>
  <c r="D75" i="5"/>
  <c r="D76" i="5"/>
  <c r="D77" i="5"/>
  <c r="D78" i="5"/>
  <c r="D79" i="5"/>
  <c r="D80" i="5"/>
  <c r="D81" i="5"/>
  <c r="D82" i="5"/>
  <c r="G82" i="5" s="1"/>
  <c r="D84" i="5"/>
  <c r="G84" i="5" s="1"/>
  <c r="D85" i="5"/>
  <c r="D86" i="5"/>
  <c r="D87" i="5"/>
  <c r="D89" i="5"/>
  <c r="D90" i="5"/>
  <c r="D91" i="5"/>
  <c r="D92" i="5"/>
  <c r="D93" i="5"/>
  <c r="D94" i="5"/>
  <c r="D95" i="5"/>
  <c r="D96" i="5"/>
  <c r="D97" i="5"/>
  <c r="D98" i="5"/>
  <c r="D99" i="5"/>
  <c r="D100" i="5"/>
  <c r="G100" i="5" s="1"/>
  <c r="D101" i="5"/>
  <c r="G101" i="5" s="1"/>
  <c r="D103" i="5"/>
  <c r="G103" i="5" s="1"/>
  <c r="D104" i="5"/>
  <c r="D105" i="5"/>
  <c r="D106" i="5"/>
  <c r="D107" i="5"/>
  <c r="D109" i="5"/>
  <c r="D110" i="5"/>
  <c r="D111" i="5"/>
  <c r="D112" i="5"/>
  <c r="D113" i="5"/>
  <c r="D114" i="5"/>
  <c r="D115" i="5"/>
  <c r="D116" i="5"/>
  <c r="D117" i="5"/>
  <c r="D118" i="5"/>
  <c r="G118" i="5" s="1"/>
  <c r="D119" i="5"/>
  <c r="G119" i="5" s="1"/>
  <c r="D120" i="5"/>
  <c r="G120" i="5" s="1"/>
  <c r="D121" i="5"/>
  <c r="D122" i="5"/>
  <c r="D123" i="5"/>
  <c r="D124" i="5"/>
  <c r="D125" i="5"/>
  <c r="D126" i="5"/>
  <c r="D127" i="5"/>
  <c r="D128" i="5"/>
  <c r="D129" i="5"/>
  <c r="D130" i="5"/>
  <c r="D131" i="5"/>
  <c r="D132" i="5"/>
  <c r="D133" i="5"/>
  <c r="D135" i="5"/>
  <c r="G135" i="5" s="1"/>
  <c r="D136" i="5"/>
  <c r="G136" i="5" s="1"/>
  <c r="D137" i="5"/>
  <c r="G137" i="5" s="1"/>
  <c r="D138" i="5"/>
  <c r="D139" i="5"/>
  <c r="D140" i="5"/>
  <c r="D141" i="5"/>
  <c r="D142" i="5"/>
  <c r="D143" i="5"/>
  <c r="D145" i="5"/>
  <c r="D146" i="5"/>
  <c r="D147" i="5"/>
  <c r="D148" i="5"/>
  <c r="D151" i="5"/>
  <c r="D152" i="5"/>
  <c r="D153" i="5"/>
  <c r="D154" i="5"/>
  <c r="G154" i="5" s="1"/>
  <c r="D155" i="5"/>
  <c r="G155" i="5" s="1"/>
  <c r="D156" i="5"/>
  <c r="G156" i="5" s="1"/>
  <c r="D157" i="5"/>
  <c r="G157" i="5" s="1"/>
  <c r="D158" i="5"/>
  <c r="D159" i="5"/>
  <c r="D160" i="5"/>
  <c r="D161" i="5"/>
  <c r="D162" i="5"/>
  <c r="D164" i="5"/>
  <c r="D165" i="5"/>
  <c r="D166" i="5"/>
  <c r="D167" i="5"/>
  <c r="D168" i="5"/>
  <c r="D169" i="5"/>
  <c r="D170" i="5"/>
  <c r="D171" i="5"/>
  <c r="G171" i="5" s="1"/>
  <c r="D173" i="5"/>
  <c r="G173" i="5" s="1"/>
  <c r="D174" i="5"/>
  <c r="G174" i="5" s="1"/>
  <c r="D175" i="5"/>
  <c r="D176" i="5"/>
  <c r="D177" i="5"/>
  <c r="D178" i="5"/>
  <c r="D179" i="5"/>
  <c r="D180" i="5"/>
  <c r="D181" i="5"/>
  <c r="D182" i="5"/>
  <c r="D183" i="5"/>
  <c r="D13" i="5"/>
  <c r="C14" i="5"/>
  <c r="C15" i="5"/>
  <c r="C17" i="5"/>
  <c r="C18" i="5"/>
  <c r="C19" i="5"/>
  <c r="C20" i="5"/>
  <c r="C21" i="5"/>
  <c r="C23" i="5"/>
  <c r="C24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8" i="5"/>
  <c r="C49" i="5"/>
  <c r="C50" i="5"/>
  <c r="C51" i="5"/>
  <c r="C52" i="5"/>
  <c r="C53" i="5"/>
  <c r="C55" i="5"/>
  <c r="C56" i="5"/>
  <c r="C57" i="5"/>
  <c r="C58" i="5"/>
  <c r="C59" i="5"/>
  <c r="C60" i="5"/>
  <c r="C61" i="5"/>
  <c r="C64" i="5"/>
  <c r="C65" i="5"/>
  <c r="C66" i="5"/>
  <c r="C67" i="5"/>
  <c r="C68" i="5"/>
  <c r="C69" i="5"/>
  <c r="C70" i="5"/>
  <c r="C71" i="5"/>
  <c r="C72" i="5"/>
  <c r="C73" i="5"/>
  <c r="C75" i="5"/>
  <c r="C76" i="5"/>
  <c r="C77" i="5"/>
  <c r="C78" i="5"/>
  <c r="C79" i="5"/>
  <c r="C80" i="5"/>
  <c r="C81" i="5"/>
  <c r="C82" i="5"/>
  <c r="C84" i="5"/>
  <c r="C85" i="5"/>
  <c r="C86" i="5"/>
  <c r="C87" i="5"/>
  <c r="C89" i="5"/>
  <c r="C90" i="5"/>
  <c r="C91" i="5"/>
  <c r="C92" i="5"/>
  <c r="C93" i="5"/>
  <c r="C94" i="5"/>
  <c r="C95" i="5"/>
  <c r="C96" i="5"/>
  <c r="C97" i="5"/>
  <c r="C98" i="5"/>
  <c r="C99" i="5"/>
  <c r="C100" i="5"/>
  <c r="C101" i="5"/>
  <c r="C103" i="5"/>
  <c r="C104" i="5"/>
  <c r="C105" i="5"/>
  <c r="C106" i="5"/>
  <c r="C107" i="5"/>
  <c r="C109" i="5"/>
  <c r="C110" i="5"/>
  <c r="C112" i="5"/>
  <c r="C113" i="5"/>
  <c r="C114" i="5"/>
  <c r="C115" i="5"/>
  <c r="C116" i="5"/>
  <c r="C117" i="5"/>
  <c r="C118" i="5"/>
  <c r="C119" i="5"/>
  <c r="C120" i="5"/>
  <c r="C121" i="5"/>
  <c r="C122" i="5"/>
  <c r="C123" i="5"/>
  <c r="C124" i="5"/>
  <c r="C125" i="5"/>
  <c r="C126" i="5"/>
  <c r="C127" i="5"/>
  <c r="C128" i="5"/>
  <c r="C129" i="5"/>
  <c r="C130" i="5"/>
  <c r="C131" i="5"/>
  <c r="C132" i="5"/>
  <c r="C133" i="5"/>
  <c r="C135" i="5"/>
  <c r="C136" i="5"/>
  <c r="C137" i="5"/>
  <c r="C138" i="5"/>
  <c r="C139" i="5"/>
  <c r="C140" i="5"/>
  <c r="C141" i="5"/>
  <c r="C142" i="5"/>
  <c r="C143" i="5"/>
  <c r="C145" i="5"/>
  <c r="C146" i="5"/>
  <c r="C147" i="5"/>
  <c r="C148" i="5"/>
  <c r="C151" i="5"/>
  <c r="C152" i="5"/>
  <c r="C153" i="5"/>
  <c r="C154" i="5"/>
  <c r="C155" i="5"/>
  <c r="C156" i="5"/>
  <c r="C157" i="5"/>
  <c r="C158" i="5"/>
  <c r="C159" i="5"/>
  <c r="C160" i="5"/>
  <c r="C161" i="5"/>
  <c r="C162" i="5"/>
  <c r="C164" i="5"/>
  <c r="C165" i="5"/>
  <c r="C166" i="5"/>
  <c r="C167" i="5"/>
  <c r="C168" i="5"/>
  <c r="C169" i="5"/>
  <c r="C170" i="5"/>
  <c r="C171" i="5"/>
  <c r="C173" i="5"/>
  <c r="C174" i="5"/>
  <c r="C175" i="5"/>
  <c r="C176" i="5"/>
  <c r="C177" i="5"/>
  <c r="C178" i="5"/>
  <c r="C179" i="5"/>
  <c r="C180" i="5"/>
  <c r="C181" i="5"/>
  <c r="C182" i="5"/>
  <c r="C183" i="5"/>
  <c r="C13" i="5"/>
  <c r="H174" i="1"/>
  <c r="L174" i="1" s="1"/>
  <c r="L151" i="1"/>
  <c r="H149" i="1"/>
  <c r="L149" i="1" s="1"/>
  <c r="H150" i="1"/>
  <c r="L150" i="1" s="1"/>
  <c r="H151" i="1"/>
  <c r="H152" i="1"/>
  <c r="L152" i="1" s="1"/>
  <c r="H153" i="1"/>
  <c r="L153" i="1" s="1"/>
  <c r="H154" i="1"/>
  <c r="L154" i="1" s="1"/>
  <c r="H155" i="1"/>
  <c r="L155" i="1" s="1"/>
  <c r="H156" i="1"/>
  <c r="L156" i="1" s="1"/>
  <c r="H157" i="1"/>
  <c r="L157" i="1" s="1"/>
  <c r="H147" i="1"/>
  <c r="L147" i="1" s="1"/>
  <c r="C10" i="6"/>
  <c r="C11" i="6"/>
  <c r="C12" i="6"/>
  <c r="C9" i="6"/>
  <c r="C4" i="6"/>
  <c r="C5" i="6"/>
  <c r="C6" i="6"/>
  <c r="C7" i="6"/>
  <c r="C8" i="6"/>
  <c r="C3" i="6"/>
  <c r="D7" i="5"/>
  <c r="D6" i="5"/>
  <c r="D5" i="5"/>
  <c r="D3" i="5"/>
  <c r="D4" i="5"/>
  <c r="D2" i="5"/>
  <c r="C2" i="4"/>
  <c r="C3" i="4"/>
  <c r="C4" i="4"/>
  <c r="C1" i="4"/>
  <c r="E27" i="4"/>
  <c r="E35" i="4"/>
  <c r="E82" i="4"/>
  <c r="E100" i="4"/>
  <c r="E43" i="4"/>
  <c r="E45" i="4"/>
  <c r="E55" i="4"/>
  <c r="G107" i="4"/>
  <c r="G108" i="4"/>
  <c r="F107" i="4"/>
  <c r="F108" i="4"/>
  <c r="G9" i="4"/>
  <c r="G10" i="4"/>
  <c r="G12" i="4"/>
  <c r="G13" i="4"/>
  <c r="G14" i="4"/>
  <c r="G15" i="4"/>
  <c r="G16" i="4"/>
  <c r="G18" i="4"/>
  <c r="G19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3" i="4"/>
  <c r="G44" i="4"/>
  <c r="G45" i="4"/>
  <c r="G46" i="4"/>
  <c r="G47" i="4"/>
  <c r="G48" i="4"/>
  <c r="G50" i="4"/>
  <c r="G51" i="4"/>
  <c r="G52" i="4"/>
  <c r="G53" i="4"/>
  <c r="G54" i="4"/>
  <c r="G55" i="4"/>
  <c r="G56" i="4"/>
  <c r="G59" i="4"/>
  <c r="G60" i="4"/>
  <c r="G61" i="4"/>
  <c r="G62" i="4"/>
  <c r="G63" i="4"/>
  <c r="G64" i="4"/>
  <c r="G65" i="4"/>
  <c r="G66" i="4"/>
  <c r="G67" i="4"/>
  <c r="G68" i="4"/>
  <c r="G70" i="4"/>
  <c r="G71" i="4"/>
  <c r="G72" i="4"/>
  <c r="G73" i="4"/>
  <c r="G74" i="4"/>
  <c r="G75" i="4"/>
  <c r="G76" i="4"/>
  <c r="G77" i="4"/>
  <c r="G79" i="4"/>
  <c r="G80" i="4"/>
  <c r="G81" i="4"/>
  <c r="G82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8" i="4"/>
  <c r="G99" i="4"/>
  <c r="G100" i="4"/>
  <c r="G101" i="4"/>
  <c r="G102" i="4"/>
  <c r="G104" i="4"/>
  <c r="G105" i="4"/>
  <c r="G106" i="4"/>
  <c r="G109" i="4"/>
  <c r="G110" i="4"/>
  <c r="G111" i="4"/>
  <c r="G112" i="4"/>
  <c r="G113" i="4"/>
  <c r="G114" i="4"/>
  <c r="G115" i="4"/>
  <c r="G116" i="4"/>
  <c r="G117" i="4"/>
  <c r="G118" i="4"/>
  <c r="G119" i="4"/>
  <c r="G120" i="4"/>
  <c r="G121" i="4"/>
  <c r="G122" i="4"/>
  <c r="G123" i="4"/>
  <c r="G124" i="4"/>
  <c r="G125" i="4"/>
  <c r="G126" i="4"/>
  <c r="G127" i="4"/>
  <c r="G128" i="4"/>
  <c r="G130" i="4"/>
  <c r="G131" i="4"/>
  <c r="G132" i="4"/>
  <c r="G133" i="4"/>
  <c r="G134" i="4"/>
  <c r="G135" i="4"/>
  <c r="G136" i="4"/>
  <c r="G137" i="4"/>
  <c r="G138" i="4"/>
  <c r="G140" i="4"/>
  <c r="G141" i="4"/>
  <c r="G142" i="4"/>
  <c r="G143" i="4"/>
  <c r="G146" i="4"/>
  <c r="G147" i="4"/>
  <c r="G148" i="4"/>
  <c r="G149" i="4"/>
  <c r="G150" i="4"/>
  <c r="G151" i="4"/>
  <c r="G152" i="4"/>
  <c r="G153" i="4"/>
  <c r="G154" i="4"/>
  <c r="G155" i="4"/>
  <c r="G156" i="4"/>
  <c r="G157" i="4"/>
  <c r="G159" i="4"/>
  <c r="G160" i="4"/>
  <c r="G161" i="4"/>
  <c r="G162" i="4"/>
  <c r="G163" i="4"/>
  <c r="G164" i="4"/>
  <c r="G165" i="4"/>
  <c r="G166" i="4"/>
  <c r="G168" i="4"/>
  <c r="G169" i="4"/>
  <c r="G170" i="4"/>
  <c r="G171" i="4"/>
  <c r="G172" i="4"/>
  <c r="G173" i="4"/>
  <c r="G174" i="4"/>
  <c r="G175" i="4"/>
  <c r="G176" i="4"/>
  <c r="G177" i="4"/>
  <c r="G178" i="4"/>
  <c r="G8" i="4"/>
  <c r="F9" i="4"/>
  <c r="F10" i="4"/>
  <c r="F12" i="4"/>
  <c r="F13" i="4"/>
  <c r="F14" i="4"/>
  <c r="F15" i="4"/>
  <c r="F16" i="4"/>
  <c r="F18" i="4"/>
  <c r="F19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3" i="4"/>
  <c r="F44" i="4"/>
  <c r="F45" i="4"/>
  <c r="F46" i="4"/>
  <c r="F47" i="4"/>
  <c r="F48" i="4"/>
  <c r="F50" i="4"/>
  <c r="F51" i="4"/>
  <c r="F52" i="4"/>
  <c r="F53" i="4"/>
  <c r="F54" i="4"/>
  <c r="F55" i="4"/>
  <c r="F56" i="4"/>
  <c r="F59" i="4"/>
  <c r="F60" i="4"/>
  <c r="F61" i="4"/>
  <c r="F62" i="4"/>
  <c r="F63" i="4"/>
  <c r="F64" i="4"/>
  <c r="F65" i="4"/>
  <c r="F66" i="4"/>
  <c r="F67" i="4"/>
  <c r="F68" i="4"/>
  <c r="F70" i="4"/>
  <c r="F71" i="4"/>
  <c r="F72" i="4"/>
  <c r="F73" i="4"/>
  <c r="F74" i="4"/>
  <c r="F75" i="4"/>
  <c r="F76" i="4"/>
  <c r="F77" i="4"/>
  <c r="F79" i="4"/>
  <c r="F80" i="4"/>
  <c r="F81" i="4"/>
  <c r="F82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8" i="4"/>
  <c r="F99" i="4"/>
  <c r="F100" i="4"/>
  <c r="F101" i="4"/>
  <c r="F102" i="4"/>
  <c r="F104" i="4"/>
  <c r="F105" i="4"/>
  <c r="F106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30" i="4"/>
  <c r="F131" i="4"/>
  <c r="F132" i="4"/>
  <c r="F133" i="4"/>
  <c r="F134" i="4"/>
  <c r="F135" i="4"/>
  <c r="F136" i="4"/>
  <c r="F137" i="4"/>
  <c r="F138" i="4"/>
  <c r="F140" i="4"/>
  <c r="F141" i="4"/>
  <c r="F142" i="4"/>
  <c r="F143" i="4"/>
  <c r="F146" i="4"/>
  <c r="F147" i="4"/>
  <c r="F148" i="4"/>
  <c r="F149" i="4"/>
  <c r="F150" i="4"/>
  <c r="F151" i="4"/>
  <c r="F152" i="4"/>
  <c r="F153" i="4"/>
  <c r="F154" i="4"/>
  <c r="F155" i="4"/>
  <c r="F156" i="4"/>
  <c r="F157" i="4"/>
  <c r="F159" i="4"/>
  <c r="F160" i="4"/>
  <c r="F161" i="4"/>
  <c r="F162" i="4"/>
  <c r="F163" i="4"/>
  <c r="F164" i="4"/>
  <c r="F165" i="4"/>
  <c r="F166" i="4"/>
  <c r="F168" i="4"/>
  <c r="F169" i="4"/>
  <c r="F170" i="4"/>
  <c r="F171" i="4"/>
  <c r="F172" i="4"/>
  <c r="F173" i="4"/>
  <c r="F174" i="4"/>
  <c r="F175" i="4"/>
  <c r="F176" i="4"/>
  <c r="F177" i="4"/>
  <c r="F178" i="4"/>
  <c r="F8" i="4"/>
  <c r="J192" i="5"/>
  <c r="G138" i="5"/>
  <c r="G121" i="5"/>
  <c r="G104" i="5"/>
  <c r="G86" i="5"/>
  <c r="G72" i="5"/>
  <c r="G49" i="5"/>
  <c r="P34" i="1"/>
  <c r="P35" i="1"/>
  <c r="P36" i="1"/>
  <c r="P37" i="1"/>
  <c r="P38" i="1"/>
  <c r="P39" i="1"/>
  <c r="P26" i="1"/>
  <c r="P27" i="1"/>
  <c r="P28" i="1"/>
  <c r="P29" i="1"/>
  <c r="P30" i="1"/>
  <c r="P31" i="1"/>
  <c r="P32" i="1"/>
  <c r="P33" i="1"/>
  <c r="H25" i="1"/>
  <c r="L25" i="1" s="1"/>
  <c r="H26" i="1"/>
  <c r="L26" i="1" s="1"/>
  <c r="H27" i="1"/>
  <c r="L27" i="1" s="1"/>
  <c r="H28" i="1"/>
  <c r="L28" i="1" s="1"/>
  <c r="H29" i="1"/>
  <c r="L29" i="1" s="1"/>
  <c r="H30" i="1"/>
  <c r="L30" i="1" s="1"/>
  <c r="H31" i="1"/>
  <c r="L31" i="1" s="1"/>
  <c r="H32" i="1"/>
  <c r="L32" i="1" s="1"/>
  <c r="H33" i="1"/>
  <c r="L33" i="1" s="1"/>
  <c r="H23" i="1"/>
  <c r="H24" i="1"/>
  <c r="L24" i="1" s="1"/>
  <c r="H34" i="1"/>
  <c r="L34" i="1" s="1"/>
  <c r="H35" i="1"/>
  <c r="L35" i="1" s="1"/>
  <c r="H36" i="1"/>
  <c r="L36" i="1" s="1"/>
  <c r="H37" i="1"/>
  <c r="L37" i="1" s="1"/>
  <c r="H38" i="1"/>
  <c r="L38" i="1" s="1"/>
  <c r="H39" i="1"/>
  <c r="H40" i="1"/>
  <c r="T142" i="1" a="1"/>
  <c r="T142" i="1" s="1"/>
  <c r="T143" i="1" a="1"/>
  <c r="T143" i="1" s="1"/>
  <c r="T144" i="1" a="1"/>
  <c r="T144" i="1" s="1"/>
  <c r="T128" i="1" a="1"/>
  <c r="T128" i="1" s="1"/>
  <c r="D137" i="6" s="1"/>
  <c r="D151" i="6" l="1"/>
  <c r="B142" i="1"/>
  <c r="D153" i="6"/>
  <c r="B144" i="1"/>
  <c r="D152" i="6"/>
  <c r="B143" i="1"/>
  <c r="G53" i="5"/>
  <c r="G35" i="5"/>
  <c r="G15" i="5"/>
  <c r="G91" i="5"/>
  <c r="E79" i="4"/>
  <c r="G71" i="5"/>
  <c r="G178" i="5"/>
  <c r="G160" i="5"/>
  <c r="G141" i="5"/>
  <c r="G124" i="5"/>
  <c r="G107" i="5"/>
  <c r="K107" i="5" s="1"/>
  <c r="G52" i="5"/>
  <c r="K52" i="5" s="1"/>
  <c r="G34" i="5"/>
  <c r="K34" i="5" s="1"/>
  <c r="E93" i="4"/>
  <c r="E37" i="4"/>
  <c r="E19" i="4"/>
  <c r="E86" i="4"/>
  <c r="E67" i="4"/>
  <c r="E48" i="4"/>
  <c r="E30" i="4"/>
  <c r="E10" i="4"/>
  <c r="E92" i="4"/>
  <c r="E36" i="4"/>
  <c r="E18" i="4"/>
  <c r="E54" i="4"/>
  <c r="E16" i="4"/>
  <c r="E9" i="4"/>
  <c r="G158" i="5"/>
  <c r="G139" i="5"/>
  <c r="G105" i="5"/>
  <c r="G87" i="5"/>
  <c r="G50" i="5"/>
  <c r="G122" i="5"/>
  <c r="K122" i="5" s="1"/>
  <c r="G85" i="5"/>
  <c r="G36" i="5"/>
  <c r="K36" i="5" s="1"/>
  <c r="G17" i="5"/>
  <c r="G179" i="5"/>
  <c r="K179" i="5" s="1"/>
  <c r="G183" i="5"/>
  <c r="G113" i="5"/>
  <c r="K113" i="5" s="1"/>
  <c r="G58" i="5"/>
  <c r="G59" i="5"/>
  <c r="K59" i="5" s="1"/>
  <c r="G21" i="5"/>
  <c r="K21" i="5" s="1"/>
  <c r="G177" i="5"/>
  <c r="K177" i="5" s="1"/>
  <c r="G159" i="5"/>
  <c r="G140" i="5"/>
  <c r="K140" i="5" s="1"/>
  <c r="G123" i="5"/>
  <c r="K123" i="5" s="1"/>
  <c r="G106" i="5"/>
  <c r="K106" i="5" s="1"/>
  <c r="G89" i="5"/>
  <c r="K89" i="5" s="1"/>
  <c r="G70" i="5"/>
  <c r="K70" i="5" s="1"/>
  <c r="G51" i="5"/>
  <c r="K51" i="5" s="1"/>
  <c r="G33" i="5"/>
  <c r="K33" i="5" s="1"/>
  <c r="G20" i="5"/>
  <c r="K20" i="5" s="1"/>
  <c r="G180" i="5"/>
  <c r="K180" i="5" s="1"/>
  <c r="G162" i="5"/>
  <c r="G92" i="5"/>
  <c r="K92" i="5" s="1"/>
  <c r="G73" i="5"/>
  <c r="K73" i="5" s="1"/>
  <c r="G55" i="5"/>
  <c r="K55" i="5" s="1"/>
  <c r="G126" i="5"/>
  <c r="K126" i="5" s="1"/>
  <c r="G167" i="5"/>
  <c r="K167" i="5" s="1"/>
  <c r="G166" i="5"/>
  <c r="G148" i="5"/>
  <c r="K148" i="5" s="1"/>
  <c r="G130" i="5"/>
  <c r="K130" i="5" s="1"/>
  <c r="G114" i="5"/>
  <c r="K114" i="5" s="1"/>
  <c r="G90" i="5"/>
  <c r="K90" i="5" s="1"/>
  <c r="G40" i="5"/>
  <c r="K40" i="5" s="1"/>
  <c r="E29" i="4"/>
  <c r="G39" i="5"/>
  <c r="K39" i="5" s="1"/>
  <c r="G32" i="5"/>
  <c r="K32" i="5" s="1"/>
  <c r="S29" i="1"/>
  <c r="T29" i="1" s="1" a="1"/>
  <c r="T29" i="1" s="1"/>
  <c r="D38" i="6" s="1"/>
  <c r="G170" i="5"/>
  <c r="G153" i="5"/>
  <c r="K153" i="5" s="1"/>
  <c r="G133" i="5"/>
  <c r="K133" i="5" s="1"/>
  <c r="G117" i="5"/>
  <c r="K117" i="5" s="1"/>
  <c r="G99" i="5"/>
  <c r="K99" i="5" s="1"/>
  <c r="G81" i="5"/>
  <c r="K81" i="5" s="1"/>
  <c r="G43" i="5"/>
  <c r="K43" i="5" s="1"/>
  <c r="G27" i="5"/>
  <c r="K27" i="5" s="1"/>
  <c r="K121" i="5"/>
  <c r="G182" i="5"/>
  <c r="K182" i="5" s="1"/>
  <c r="G165" i="5"/>
  <c r="K165" i="5" s="1"/>
  <c r="G76" i="5"/>
  <c r="K76" i="5" s="1"/>
  <c r="G57" i="5"/>
  <c r="K57" i="5" s="1"/>
  <c r="G38" i="5"/>
  <c r="K38" i="5" s="1"/>
  <c r="G169" i="5"/>
  <c r="K169" i="5" s="1"/>
  <c r="G48" i="5"/>
  <c r="K48" i="5" s="1"/>
  <c r="G152" i="5"/>
  <c r="K152" i="5" s="1"/>
  <c r="G132" i="5"/>
  <c r="K132" i="5" s="1"/>
  <c r="G116" i="5"/>
  <c r="K116" i="5" s="1"/>
  <c r="G98" i="5"/>
  <c r="K98" i="5" s="1"/>
  <c r="G80" i="5"/>
  <c r="K80" i="5" s="1"/>
  <c r="G61" i="5"/>
  <c r="K61" i="5" s="1"/>
  <c r="G42" i="5"/>
  <c r="K42" i="5" s="1"/>
  <c r="G24" i="5"/>
  <c r="K24" i="5" s="1"/>
  <c r="G168" i="5"/>
  <c r="K168" i="5" s="1"/>
  <c r="G151" i="5"/>
  <c r="K151" i="5" s="1"/>
  <c r="G131" i="5"/>
  <c r="K131" i="5" s="1"/>
  <c r="G115" i="5"/>
  <c r="K115" i="5" s="1"/>
  <c r="G97" i="5"/>
  <c r="K97" i="5" s="1"/>
  <c r="G60" i="5"/>
  <c r="K60" i="5" s="1"/>
  <c r="G41" i="5"/>
  <c r="K41" i="5" s="1"/>
  <c r="G23" i="5"/>
  <c r="K23" i="5" s="1"/>
  <c r="G129" i="5"/>
  <c r="K129" i="5" s="1"/>
  <c r="G19" i="5"/>
  <c r="K19" i="5" s="1"/>
  <c r="G181" i="5"/>
  <c r="K181" i="5" s="1"/>
  <c r="G164" i="5"/>
  <c r="K164" i="5" s="1"/>
  <c r="G145" i="5"/>
  <c r="K145" i="5" s="1"/>
  <c r="G75" i="5"/>
  <c r="K75" i="5" s="1"/>
  <c r="G56" i="5"/>
  <c r="K56" i="5" s="1"/>
  <c r="G37" i="5"/>
  <c r="K37" i="5" s="1"/>
  <c r="G18" i="5"/>
  <c r="K18" i="5" s="1"/>
  <c r="S33" i="1"/>
  <c r="T33" i="1" s="1" a="1"/>
  <c r="T33" i="1" s="1"/>
  <c r="D42" i="6" s="1"/>
  <c r="K71" i="5"/>
  <c r="K160" i="5"/>
  <c r="K141" i="5"/>
  <c r="K124" i="5"/>
  <c r="S32" i="1"/>
  <c r="T32" i="1" s="1" a="1"/>
  <c r="T32" i="1" s="1"/>
  <c r="D41" i="6" s="1"/>
  <c r="S28" i="1"/>
  <c r="G13" i="5"/>
  <c r="K13" i="5" s="1"/>
  <c r="E108" i="4"/>
  <c r="E71" i="4"/>
  <c r="E96" i="4"/>
  <c r="E61" i="4"/>
  <c r="K15" i="5"/>
  <c r="G147" i="5"/>
  <c r="K147" i="5" s="1"/>
  <c r="G146" i="5"/>
  <c r="K146" i="5" s="1"/>
  <c r="G94" i="5"/>
  <c r="K94" i="5" s="1"/>
  <c r="K91" i="5"/>
  <c r="G93" i="5"/>
  <c r="K93" i="5" s="1"/>
  <c r="G110" i="5"/>
  <c r="K110" i="5" s="1"/>
  <c r="K53" i="5"/>
  <c r="G161" i="5"/>
  <c r="K161" i="5" s="1"/>
  <c r="G142" i="5"/>
  <c r="K142" i="5" s="1"/>
  <c r="G125" i="5"/>
  <c r="K125" i="5" s="1"/>
  <c r="G109" i="5"/>
  <c r="K109" i="5" s="1"/>
  <c r="K86" i="5"/>
  <c r="G77" i="5"/>
  <c r="K77" i="5" s="1"/>
  <c r="K138" i="5"/>
  <c r="K159" i="5"/>
  <c r="K139" i="5"/>
  <c r="K105" i="5"/>
  <c r="K50" i="5"/>
  <c r="K104" i="5"/>
  <c r="K35" i="5"/>
  <c r="K156" i="5"/>
  <c r="K72" i="5"/>
  <c r="C183" i="6"/>
  <c r="S174" i="1"/>
  <c r="T174" i="1" s="1" a="1"/>
  <c r="T174" i="1" s="1"/>
  <c r="C119" i="6"/>
  <c r="S110" i="1"/>
  <c r="T110" i="1" s="1" a="1"/>
  <c r="T110" i="1" s="1"/>
  <c r="D119" i="6" s="1"/>
  <c r="C158" i="6"/>
  <c r="S149" i="1"/>
  <c r="C164" i="6"/>
  <c r="S155" i="1"/>
  <c r="T155" i="1" s="1" a="1"/>
  <c r="T155" i="1" s="1"/>
  <c r="C160" i="6"/>
  <c r="S151" i="1"/>
  <c r="T151" i="1" s="1" a="1"/>
  <c r="T151" i="1" s="1"/>
  <c r="S27" i="1"/>
  <c r="G14" i="5"/>
  <c r="K14" i="5" s="1"/>
  <c r="C165" i="6"/>
  <c r="S156" i="1"/>
  <c r="C166" i="6"/>
  <c r="S157" i="1"/>
  <c r="C156" i="6"/>
  <c r="S147" i="1"/>
  <c r="T147" i="1" s="1" a="1"/>
  <c r="T147" i="1" s="1"/>
  <c r="S38" i="1"/>
  <c r="T38" i="1" s="1" a="1"/>
  <c r="T38" i="1" s="1"/>
  <c r="D47" i="6" s="1"/>
  <c r="C46" i="6"/>
  <c r="S37" i="1"/>
  <c r="T37" i="1" s="1" a="1"/>
  <c r="T37" i="1" s="1"/>
  <c r="D46" i="6" s="1"/>
  <c r="C40" i="6"/>
  <c r="S31" i="1"/>
  <c r="T31" i="1" s="1" a="1"/>
  <c r="T31" i="1" s="1"/>
  <c r="D40" i="6" s="1"/>
  <c r="C45" i="6"/>
  <c r="S36" i="1"/>
  <c r="T36" i="1" s="1" a="1"/>
  <c r="T36" i="1" s="1"/>
  <c r="D45" i="6" s="1"/>
  <c r="C163" i="6"/>
  <c r="S154" i="1"/>
  <c r="T154" i="1" s="1" a="1"/>
  <c r="T154" i="1" s="1"/>
  <c r="S26" i="1"/>
  <c r="C44" i="6"/>
  <c r="S35" i="1"/>
  <c r="T35" i="1" s="1" a="1"/>
  <c r="T35" i="1" s="1"/>
  <c r="D44" i="6" s="1"/>
  <c r="C162" i="6"/>
  <c r="S153" i="1"/>
  <c r="T153" i="1" s="1" a="1"/>
  <c r="T153" i="1" s="1"/>
  <c r="C43" i="6"/>
  <c r="S34" i="1"/>
  <c r="T34" i="1" s="1" a="1"/>
  <c r="T34" i="1" s="1"/>
  <c r="D43" i="6" s="1"/>
  <c r="C161" i="6"/>
  <c r="S152" i="1"/>
  <c r="T152" i="1" s="1" a="1"/>
  <c r="T152" i="1" s="1"/>
  <c r="C39" i="6"/>
  <c r="S30" i="1"/>
  <c r="T30" i="1" s="1" a="1"/>
  <c r="T30" i="1" s="1"/>
  <c r="D39" i="6" s="1"/>
  <c r="K100" i="5"/>
  <c r="C159" i="6"/>
  <c r="S150" i="1"/>
  <c r="K101" i="5"/>
  <c r="K136" i="5"/>
  <c r="K173" i="5"/>
  <c r="K84" i="5"/>
  <c r="K155" i="5"/>
  <c r="K154" i="5"/>
  <c r="E88" i="4"/>
  <c r="E70" i="4"/>
  <c r="E32" i="4"/>
  <c r="E13" i="4"/>
  <c r="E39" i="4"/>
  <c r="E87" i="4"/>
  <c r="K178" i="5"/>
  <c r="E95" i="4"/>
  <c r="G68" i="5"/>
  <c r="K68" i="5" s="1"/>
  <c r="G67" i="5"/>
  <c r="K67" i="5" s="1"/>
  <c r="G66" i="5"/>
  <c r="K66" i="5" s="1"/>
  <c r="G65" i="5"/>
  <c r="K65" i="5" s="1"/>
  <c r="G69" i="5"/>
  <c r="K69" i="5" s="1"/>
  <c r="E94" i="4"/>
  <c r="E77" i="4"/>
  <c r="E76" i="4"/>
  <c r="E60" i="4"/>
  <c r="E68" i="4"/>
  <c r="E51" i="4"/>
  <c r="E50" i="4"/>
  <c r="C42" i="6"/>
  <c r="C37" i="6"/>
  <c r="C41" i="6"/>
  <c r="E23" i="4"/>
  <c r="C36" i="6"/>
  <c r="C35" i="6"/>
  <c r="E31" i="4"/>
  <c r="E38" i="4"/>
  <c r="E22" i="4"/>
  <c r="C47" i="6"/>
  <c r="C38" i="6"/>
  <c r="C179" i="4"/>
  <c r="D179" i="4"/>
  <c r="E12" i="4"/>
  <c r="K166" i="5"/>
  <c r="K158" i="5"/>
  <c r="K157" i="5"/>
  <c r="K137" i="5"/>
  <c r="K119" i="5"/>
  <c r="K120" i="5"/>
  <c r="K103" i="5"/>
  <c r="K85" i="5"/>
  <c r="K87" i="5"/>
  <c r="K58" i="5"/>
  <c r="K183" i="5"/>
  <c r="E24" i="4"/>
  <c r="G31" i="5"/>
  <c r="K31" i="5" s="1"/>
  <c r="E56" i="4"/>
  <c r="E73" i="4"/>
  <c r="K44" i="5"/>
  <c r="K28" i="5"/>
  <c r="G64" i="5"/>
  <c r="K64" i="5" s="1"/>
  <c r="E89" i="4"/>
  <c r="K17" i="5"/>
  <c r="K135" i="5"/>
  <c r="K170" i="5"/>
  <c r="K171" i="5"/>
  <c r="G96" i="5"/>
  <c r="K96" i="5" s="1"/>
  <c r="G78" i="5"/>
  <c r="K78" i="5" s="1"/>
  <c r="G128" i="5"/>
  <c r="K128" i="5" s="1"/>
  <c r="G112" i="5"/>
  <c r="K112" i="5" s="1"/>
  <c r="K118" i="5"/>
  <c r="G176" i="5"/>
  <c r="K176" i="5" s="1"/>
  <c r="E25" i="4"/>
  <c r="E107" i="4"/>
  <c r="E91" i="4"/>
  <c r="E75" i="4"/>
  <c r="E59" i="4"/>
  <c r="E90" i="4"/>
  <c r="E74" i="4"/>
  <c r="K174" i="5"/>
  <c r="K45" i="5"/>
  <c r="K29" i="5"/>
  <c r="K49" i="5"/>
  <c r="K82" i="5"/>
  <c r="K162" i="5"/>
  <c r="G175" i="5"/>
  <c r="K175" i="5" s="1"/>
  <c r="G143" i="5"/>
  <c r="K143" i="5" s="1"/>
  <c r="G127" i="5"/>
  <c r="K127" i="5" s="1"/>
  <c r="G111" i="5"/>
  <c r="K111" i="5" s="1"/>
  <c r="G95" i="5"/>
  <c r="K95" i="5" s="1"/>
  <c r="G79" i="5"/>
  <c r="K79" i="5" s="1"/>
  <c r="G30" i="5"/>
  <c r="K30" i="5" s="1"/>
  <c r="E122" i="4"/>
  <c r="E121" i="4"/>
  <c r="E120" i="4"/>
  <c r="E119" i="4"/>
  <c r="E118" i="4"/>
  <c r="D164" i="6" l="1"/>
  <c r="B155" i="1"/>
  <c r="D183" i="6"/>
  <c r="B174" i="1"/>
  <c r="D161" i="6"/>
  <c r="B152" i="1"/>
  <c r="D156" i="6"/>
  <c r="B147" i="1"/>
  <c r="D162" i="6"/>
  <c r="B153" i="1"/>
  <c r="D163" i="6"/>
  <c r="B154" i="1"/>
  <c r="D160" i="6"/>
  <c r="B151" i="1"/>
  <c r="T156" i="1" a="1"/>
  <c r="T156" i="1" s="1"/>
  <c r="G184" i="5"/>
  <c r="K184" i="5"/>
  <c r="D165" i="6" l="1"/>
  <c r="B156" i="1"/>
  <c r="P16" i="1"/>
  <c r="H16" i="1"/>
  <c r="L16" i="1" s="1"/>
  <c r="P8" i="1"/>
  <c r="P9" i="1"/>
  <c r="P10" i="1"/>
  <c r="P12" i="1"/>
  <c r="P13" i="1"/>
  <c r="P14" i="1"/>
  <c r="P15" i="1"/>
  <c r="P18" i="1"/>
  <c r="P19" i="1"/>
  <c r="H8" i="1"/>
  <c r="L8" i="1" s="1"/>
  <c r="H9" i="1"/>
  <c r="L9" i="1" s="1"/>
  <c r="S9" i="1" s="1"/>
  <c r="T9" i="1" s="1" a="1"/>
  <c r="T9" i="1" s="1"/>
  <c r="D18" i="6" s="1"/>
  <c r="H10" i="1"/>
  <c r="L10" i="1" s="1"/>
  <c r="S10" i="1" s="1"/>
  <c r="T10" i="1" s="1" a="1"/>
  <c r="T10" i="1" s="1"/>
  <c r="H12" i="1"/>
  <c r="L12" i="1" s="1"/>
  <c r="H13" i="1"/>
  <c r="L13" i="1" s="1"/>
  <c r="H14" i="1"/>
  <c r="L14" i="1" s="1"/>
  <c r="H15" i="1"/>
  <c r="L15" i="1" s="1"/>
  <c r="H18" i="1"/>
  <c r="L18" i="1" s="1"/>
  <c r="H19" i="1"/>
  <c r="L19" i="1" s="1"/>
  <c r="T157" i="1" a="1"/>
  <c r="T157" i="1" s="1"/>
  <c r="T150" i="1" a="1"/>
  <c r="T150" i="1" s="1"/>
  <c r="T149" i="1" a="1"/>
  <c r="T149" i="1" s="1"/>
  <c r="T28" i="1" a="1"/>
  <c r="T28" i="1" s="1"/>
  <c r="D37" i="6" s="1"/>
  <c r="T27" i="1" a="1"/>
  <c r="T27" i="1" s="1"/>
  <c r="D36" i="6" s="1"/>
  <c r="T26" i="1" a="1"/>
  <c r="T26" i="1" s="1"/>
  <c r="D35" i="6" s="1"/>
  <c r="O180" i="1"/>
  <c r="N180" i="1"/>
  <c r="K187" i="1"/>
  <c r="E102" i="4"/>
  <c r="E104" i="4"/>
  <c r="E112" i="4"/>
  <c r="E116" i="4"/>
  <c r="H160" i="1"/>
  <c r="L160" i="1" s="1"/>
  <c r="H161" i="1"/>
  <c r="L161" i="1" s="1"/>
  <c r="H162" i="1"/>
  <c r="L162" i="1" s="1"/>
  <c r="H163" i="1"/>
  <c r="L163" i="1" s="1"/>
  <c r="D166" i="6" l="1"/>
  <c r="B157" i="1"/>
  <c r="D158" i="6"/>
  <c r="B149" i="1"/>
  <c r="D159" i="6"/>
  <c r="B150" i="1"/>
  <c r="D19" i="6"/>
  <c r="B10" i="1"/>
  <c r="S12" i="1"/>
  <c r="T12" i="1" s="1" a="1"/>
  <c r="T12" i="1" s="1"/>
  <c r="D21" i="6" s="1"/>
  <c r="S16" i="1"/>
  <c r="T16" i="1" s="1" a="1"/>
  <c r="T16" i="1" s="1"/>
  <c r="D25" i="6" s="1"/>
  <c r="C172" i="6"/>
  <c r="S163" i="1"/>
  <c r="T163" i="1" s="1" a="1"/>
  <c r="T163" i="1" s="1"/>
  <c r="C170" i="6"/>
  <c r="S161" i="1"/>
  <c r="T161" i="1" s="1" a="1"/>
  <c r="T161" i="1" s="1"/>
  <c r="C171" i="6"/>
  <c r="S162" i="1"/>
  <c r="T162" i="1" s="1" a="1"/>
  <c r="T162" i="1" s="1"/>
  <c r="C169" i="6"/>
  <c r="S160" i="1"/>
  <c r="T160" i="1" s="1" a="1"/>
  <c r="T160" i="1" s="1"/>
  <c r="S14" i="1"/>
  <c r="T14" i="1" s="1" a="1"/>
  <c r="T14" i="1" s="1"/>
  <c r="D23" i="6" s="1"/>
  <c r="C28" i="6"/>
  <c r="S19" i="1"/>
  <c r="T19" i="1" s="1" a="1"/>
  <c r="T19" i="1" s="1"/>
  <c r="D28" i="6" s="1"/>
  <c r="C27" i="6"/>
  <c r="S18" i="1"/>
  <c r="T18" i="1" s="1" a="1"/>
  <c r="T18" i="1" s="1"/>
  <c r="D27" i="6" s="1"/>
  <c r="C24" i="6"/>
  <c r="S15" i="1"/>
  <c r="T15" i="1" s="1" a="1"/>
  <c r="T15" i="1" s="1"/>
  <c r="D24" i="6" s="1"/>
  <c r="C22" i="6"/>
  <c r="S13" i="1"/>
  <c r="T13" i="1" s="1" a="1"/>
  <c r="T13" i="1" s="1"/>
  <c r="D22" i="6" s="1"/>
  <c r="S8" i="1"/>
  <c r="T8" i="1" s="1" a="1"/>
  <c r="T8" i="1" s="1"/>
  <c r="B8" i="1" s="1"/>
  <c r="C21" i="6"/>
  <c r="C25" i="6"/>
  <c r="C17" i="6"/>
  <c r="C23" i="6"/>
  <c r="C19" i="6"/>
  <c r="C18" i="6"/>
  <c r="E8" i="4"/>
  <c r="E115" i="4"/>
  <c r="E114" i="4"/>
  <c r="E113" i="4"/>
  <c r="E109" i="4"/>
  <c r="E106" i="4"/>
  <c r="E110" i="4"/>
  <c r="E105" i="4"/>
  <c r="E111" i="4"/>
  <c r="E40" i="4"/>
  <c r="D171" i="6" l="1"/>
  <c r="B162" i="1"/>
  <c r="D170" i="6"/>
  <c r="B161" i="1"/>
  <c r="D172" i="6"/>
  <c r="B163" i="1"/>
  <c r="D169" i="6"/>
  <c r="B160" i="1"/>
  <c r="D17" i="6"/>
  <c r="E179" i="4"/>
  <c r="H166" i="1"/>
  <c r="L166" i="1" s="1"/>
  <c r="H165" i="1"/>
  <c r="L165" i="1" s="1"/>
  <c r="H167" i="1"/>
  <c r="L167" i="1" s="1"/>
  <c r="H164" i="1"/>
  <c r="L164" i="1" s="1"/>
  <c r="C174" i="6" l="1"/>
  <c r="S165" i="1"/>
  <c r="T165" i="1" s="1" a="1"/>
  <c r="T165" i="1" s="1"/>
  <c r="C176" i="6"/>
  <c r="S167" i="1"/>
  <c r="T167" i="1" s="1" a="1"/>
  <c r="T167" i="1" s="1"/>
  <c r="C173" i="6"/>
  <c r="S164" i="1"/>
  <c r="T164" i="1" s="1" a="1"/>
  <c r="T164" i="1" s="1"/>
  <c r="C175" i="6"/>
  <c r="S166" i="1"/>
  <c r="T166" i="1" s="1" a="1"/>
  <c r="T166" i="1" s="1"/>
  <c r="P95" i="1"/>
  <c r="H95" i="1"/>
  <c r="L95" i="1" s="1"/>
  <c r="P138" i="1"/>
  <c r="H138" i="1"/>
  <c r="L138" i="1" s="1"/>
  <c r="H139" i="1"/>
  <c r="H129" i="1"/>
  <c r="L129" i="1" s="1"/>
  <c r="P81" i="1"/>
  <c r="H81" i="1"/>
  <c r="L81" i="1" s="1"/>
  <c r="P62" i="1"/>
  <c r="P63" i="1"/>
  <c r="H63" i="1"/>
  <c r="L63" i="1" s="1"/>
  <c r="H62" i="1"/>
  <c r="L62" i="1" s="1"/>
  <c r="P54" i="1"/>
  <c r="H54" i="1"/>
  <c r="L54" i="1" s="1"/>
  <c r="S54" i="1" s="1"/>
  <c r="T54" i="1" s="1" a="1"/>
  <c r="T54" i="1" s="1"/>
  <c r="D63" i="6" s="1"/>
  <c r="P131" i="1"/>
  <c r="P132" i="1"/>
  <c r="P133" i="1"/>
  <c r="P134" i="1"/>
  <c r="P135" i="1"/>
  <c r="P136" i="1"/>
  <c r="H131" i="1"/>
  <c r="L131" i="1" s="1"/>
  <c r="H132" i="1"/>
  <c r="L132" i="1" s="1"/>
  <c r="H133" i="1"/>
  <c r="L133" i="1" s="1"/>
  <c r="H134" i="1"/>
  <c r="L134" i="1" s="1"/>
  <c r="H135" i="1"/>
  <c r="L135" i="1" s="1"/>
  <c r="H136" i="1"/>
  <c r="L136" i="1" s="1"/>
  <c r="P117" i="1"/>
  <c r="P118" i="1"/>
  <c r="P119" i="1"/>
  <c r="P120" i="1"/>
  <c r="P121" i="1"/>
  <c r="P122" i="1"/>
  <c r="P123" i="1"/>
  <c r="P124" i="1"/>
  <c r="P125" i="1"/>
  <c r="P126" i="1"/>
  <c r="P137" i="1"/>
  <c r="H117" i="1"/>
  <c r="L117" i="1" s="1"/>
  <c r="H118" i="1"/>
  <c r="L118" i="1" s="1"/>
  <c r="H119" i="1"/>
  <c r="L119" i="1" s="1"/>
  <c r="H120" i="1"/>
  <c r="L120" i="1" s="1"/>
  <c r="H121" i="1"/>
  <c r="L121" i="1" s="1"/>
  <c r="H122" i="1"/>
  <c r="L122" i="1" s="1"/>
  <c r="H123" i="1"/>
  <c r="L123" i="1" s="1"/>
  <c r="H124" i="1"/>
  <c r="L124" i="1" s="1"/>
  <c r="H125" i="1"/>
  <c r="L125" i="1" s="1"/>
  <c r="H126" i="1"/>
  <c r="L126" i="1" s="1"/>
  <c r="H127" i="1"/>
  <c r="L127" i="1" s="1"/>
  <c r="P115" i="1"/>
  <c r="P116" i="1"/>
  <c r="H115" i="1"/>
  <c r="L115" i="1" s="1"/>
  <c r="H116" i="1"/>
  <c r="L116" i="1" s="1"/>
  <c r="P106" i="1"/>
  <c r="P107" i="1"/>
  <c r="P108" i="1"/>
  <c r="P109" i="1"/>
  <c r="P111" i="1"/>
  <c r="P112" i="1"/>
  <c r="P113" i="1"/>
  <c r="P114" i="1"/>
  <c r="H106" i="1"/>
  <c r="L106" i="1" s="1"/>
  <c r="H107" i="1"/>
  <c r="L107" i="1" s="1"/>
  <c r="H108" i="1"/>
  <c r="L108" i="1" s="1"/>
  <c r="H109" i="1"/>
  <c r="L109" i="1" s="1"/>
  <c r="H111" i="1"/>
  <c r="L111" i="1" s="1"/>
  <c r="H112" i="1"/>
  <c r="L112" i="1" s="1"/>
  <c r="H113" i="1"/>
  <c r="L113" i="1" s="1"/>
  <c r="H114" i="1"/>
  <c r="L114" i="1" s="1"/>
  <c r="H94" i="1"/>
  <c r="L94" i="1" s="1"/>
  <c r="P94" i="1"/>
  <c r="P99" i="1"/>
  <c r="P100" i="1"/>
  <c r="P101" i="1"/>
  <c r="P102" i="1"/>
  <c r="P104" i="1"/>
  <c r="P105" i="1"/>
  <c r="P139" i="1"/>
  <c r="P88" i="1"/>
  <c r="P89" i="1"/>
  <c r="H88" i="1"/>
  <c r="L88" i="1" s="1"/>
  <c r="H89" i="1"/>
  <c r="L89" i="1" s="1"/>
  <c r="P98" i="1"/>
  <c r="H99" i="1"/>
  <c r="L99" i="1" s="1"/>
  <c r="H100" i="1"/>
  <c r="L100" i="1" s="1"/>
  <c r="H101" i="1"/>
  <c r="L101" i="1" s="1"/>
  <c r="S101" i="1" s="1"/>
  <c r="T101" i="1" s="1" a="1"/>
  <c r="T101" i="1" s="1"/>
  <c r="D110" i="6" s="1"/>
  <c r="H102" i="1"/>
  <c r="L102" i="1" s="1"/>
  <c r="S102" i="1" s="1"/>
  <c r="T102" i="1" s="1" a="1"/>
  <c r="T102" i="1" s="1"/>
  <c r="D111" i="6" s="1"/>
  <c r="P96" i="1"/>
  <c r="P93" i="1"/>
  <c r="P92" i="1"/>
  <c r="P91" i="1"/>
  <c r="P90" i="1"/>
  <c r="P87" i="1"/>
  <c r="P86" i="1"/>
  <c r="P85" i="1"/>
  <c r="P84" i="1"/>
  <c r="H84" i="1"/>
  <c r="L84" i="1" s="1"/>
  <c r="H85" i="1"/>
  <c r="L85" i="1" s="1"/>
  <c r="H86" i="1"/>
  <c r="L86" i="1" s="1"/>
  <c r="H87" i="1"/>
  <c r="L87" i="1" s="1"/>
  <c r="P82" i="1"/>
  <c r="P80" i="1"/>
  <c r="P79" i="1"/>
  <c r="H82" i="1"/>
  <c r="L82" i="1" s="1"/>
  <c r="S82" i="1" s="1"/>
  <c r="T82" i="1" s="1" a="1"/>
  <c r="T82" i="1" s="1"/>
  <c r="D91" i="6" s="1"/>
  <c r="H80" i="1"/>
  <c r="L80" i="1" s="1"/>
  <c r="S80" i="1" s="1"/>
  <c r="T80" i="1" s="1" a="1"/>
  <c r="T80" i="1" s="1"/>
  <c r="D89" i="6" s="1"/>
  <c r="H79" i="1"/>
  <c r="L79" i="1" s="1"/>
  <c r="P75" i="1"/>
  <c r="P76" i="1"/>
  <c r="P77" i="1"/>
  <c r="H75" i="1"/>
  <c r="L75" i="1" s="1"/>
  <c r="S75" i="1" s="1"/>
  <c r="T75" i="1" s="1" a="1"/>
  <c r="T75" i="1" s="1"/>
  <c r="D84" i="6" s="1"/>
  <c r="H76" i="1"/>
  <c r="L76" i="1" s="1"/>
  <c r="S76" i="1" s="1"/>
  <c r="T76" i="1" s="1" a="1"/>
  <c r="T76" i="1" s="1"/>
  <c r="D85" i="6" s="1"/>
  <c r="H77" i="1"/>
  <c r="L77" i="1" s="1"/>
  <c r="S77" i="1" s="1"/>
  <c r="T77" i="1" s="1" a="1"/>
  <c r="T77" i="1" s="1"/>
  <c r="D86" i="6" s="1"/>
  <c r="P60" i="1"/>
  <c r="P61" i="1"/>
  <c r="P64" i="1"/>
  <c r="P65" i="1"/>
  <c r="P66" i="1"/>
  <c r="P67" i="1"/>
  <c r="S67" i="1" s="1"/>
  <c r="T67" i="1" s="1" a="1"/>
  <c r="T67" i="1" s="1"/>
  <c r="D76" i="6" s="1"/>
  <c r="P68" i="1"/>
  <c r="P70" i="1"/>
  <c r="P71" i="1"/>
  <c r="P72" i="1"/>
  <c r="P73" i="1"/>
  <c r="P74" i="1"/>
  <c r="H60" i="1"/>
  <c r="L60" i="1" s="1"/>
  <c r="H61" i="1"/>
  <c r="L61" i="1" s="1"/>
  <c r="H64" i="1"/>
  <c r="L64" i="1" s="1"/>
  <c r="H65" i="1"/>
  <c r="L65" i="1" s="1"/>
  <c r="H66" i="1"/>
  <c r="L66" i="1" s="1"/>
  <c r="H67" i="1"/>
  <c r="L67" i="1" s="1"/>
  <c r="H68" i="1"/>
  <c r="L68" i="1" s="1"/>
  <c r="H70" i="1"/>
  <c r="L70" i="1" s="1"/>
  <c r="H71" i="1"/>
  <c r="L71" i="1" s="1"/>
  <c r="H72" i="1"/>
  <c r="L72" i="1" s="1"/>
  <c r="S72" i="1" s="1"/>
  <c r="T72" i="1" s="1" a="1"/>
  <c r="T72" i="1" s="1"/>
  <c r="D81" i="6" s="1"/>
  <c r="H73" i="1"/>
  <c r="L73" i="1" s="1"/>
  <c r="S73" i="1" s="1"/>
  <c r="T73" i="1" s="1" a="1"/>
  <c r="T73" i="1" s="1"/>
  <c r="D82" i="6" s="1"/>
  <c r="H74" i="1"/>
  <c r="L74" i="1" s="1"/>
  <c r="S74" i="1" s="1"/>
  <c r="T74" i="1" s="1" a="1"/>
  <c r="T74" i="1" s="1"/>
  <c r="D83" i="6" s="1"/>
  <c r="P59" i="1"/>
  <c r="H59" i="1"/>
  <c r="L59" i="1" s="1"/>
  <c r="P56" i="1"/>
  <c r="H56" i="1"/>
  <c r="L56" i="1" s="1"/>
  <c r="S56" i="1" s="1"/>
  <c r="T56" i="1" s="1" a="1"/>
  <c r="T56" i="1" s="1"/>
  <c r="D65" i="6" s="1"/>
  <c r="P51" i="1"/>
  <c r="P52" i="1"/>
  <c r="P53" i="1"/>
  <c r="P55" i="1"/>
  <c r="H51" i="1"/>
  <c r="L51" i="1" s="1"/>
  <c r="S51" i="1" s="1"/>
  <c r="T51" i="1" s="1" a="1"/>
  <c r="T51" i="1" s="1"/>
  <c r="D60" i="6" s="1"/>
  <c r="H52" i="1"/>
  <c r="L52" i="1" s="1"/>
  <c r="H53" i="1"/>
  <c r="L53" i="1" s="1"/>
  <c r="H55" i="1"/>
  <c r="L55" i="1" s="1"/>
  <c r="P50" i="1"/>
  <c r="H50" i="1"/>
  <c r="L50" i="1" s="1"/>
  <c r="S50" i="1" s="1"/>
  <c r="T50" i="1" s="1" a="1"/>
  <c r="T50" i="1" s="1"/>
  <c r="D59" i="6" s="1"/>
  <c r="P47" i="1"/>
  <c r="H47" i="1"/>
  <c r="L47" i="1" s="1"/>
  <c r="S47" i="1" s="1"/>
  <c r="T47" i="1" s="1" a="1"/>
  <c r="T47" i="1" s="1"/>
  <c r="D56" i="6" s="1"/>
  <c r="P46" i="1"/>
  <c r="H46" i="1"/>
  <c r="L46" i="1" s="1"/>
  <c r="P44" i="1"/>
  <c r="P45" i="1"/>
  <c r="P48" i="1"/>
  <c r="P43" i="1"/>
  <c r="H44" i="1"/>
  <c r="L44" i="1" s="1"/>
  <c r="S44" i="1" s="1"/>
  <c r="T44" i="1" s="1" a="1"/>
  <c r="T44" i="1" s="1"/>
  <c r="D53" i="6" s="1"/>
  <c r="H45" i="1"/>
  <c r="L45" i="1" s="1"/>
  <c r="S45" i="1" s="1"/>
  <c r="T45" i="1" s="1" a="1"/>
  <c r="T45" i="1" s="1"/>
  <c r="D54" i="6" s="1"/>
  <c r="H48" i="1"/>
  <c r="L48" i="1" s="1"/>
  <c r="S48" i="1" s="1"/>
  <c r="T48" i="1" s="1" a="1"/>
  <c r="T48" i="1" s="1"/>
  <c r="D57" i="6" s="1"/>
  <c r="H43" i="1"/>
  <c r="L43" i="1" s="1"/>
  <c r="P40" i="1"/>
  <c r="L39" i="1"/>
  <c r="L40" i="1"/>
  <c r="S40" i="1" s="1"/>
  <c r="T40" i="1" s="1" a="1"/>
  <c r="T40" i="1" s="1"/>
  <c r="D49" i="6" s="1"/>
  <c r="D173" i="6" l="1"/>
  <c r="B164" i="1"/>
  <c r="D176" i="6"/>
  <c r="B167" i="1"/>
  <c r="D175" i="6"/>
  <c r="B166" i="1"/>
  <c r="D174" i="6"/>
  <c r="B165" i="1"/>
  <c r="S55" i="1"/>
  <c r="T55" i="1" s="1" a="1"/>
  <c r="T55" i="1" s="1"/>
  <c r="D64" i="6" s="1"/>
  <c r="S53" i="1"/>
  <c r="T53" i="1" s="1" a="1"/>
  <c r="T53" i="1" s="1"/>
  <c r="D62" i="6" s="1"/>
  <c r="S43" i="1"/>
  <c r="T43" i="1" s="1" a="1"/>
  <c r="T43" i="1" s="1"/>
  <c r="D52" i="6" s="1"/>
  <c r="S52" i="1"/>
  <c r="T52" i="1" s="1" a="1"/>
  <c r="T52" i="1" s="1"/>
  <c r="D61" i="6" s="1"/>
  <c r="S81" i="1"/>
  <c r="T81" i="1" s="1" a="1"/>
  <c r="T81" i="1" s="1"/>
  <c r="D90" i="6" s="1"/>
  <c r="C138" i="6"/>
  <c r="S129" i="1"/>
  <c r="T129" i="1" s="1" a="1"/>
  <c r="T129" i="1" s="1"/>
  <c r="D138" i="6" s="1"/>
  <c r="C127" i="6"/>
  <c r="S118" i="1"/>
  <c r="C126" i="6"/>
  <c r="S117" i="1"/>
  <c r="T117" i="1" s="1" a="1"/>
  <c r="T117" i="1" s="1"/>
  <c r="D126" i="6" s="1"/>
  <c r="C140" i="6"/>
  <c r="S131" i="1"/>
  <c r="T131" i="1" s="1" a="1"/>
  <c r="T131" i="1" s="1"/>
  <c r="D140" i="6" s="1"/>
  <c r="C147" i="6"/>
  <c r="S138" i="1"/>
  <c r="T138" i="1" s="1" a="1"/>
  <c r="T138" i="1" s="1"/>
  <c r="D147" i="6" s="1"/>
  <c r="C143" i="6"/>
  <c r="S134" i="1"/>
  <c r="T134" i="1" s="1" a="1"/>
  <c r="T134" i="1" s="1"/>
  <c r="D143" i="6" s="1"/>
  <c r="C123" i="6"/>
  <c r="S114" i="1"/>
  <c r="T114" i="1" s="1" a="1"/>
  <c r="T114" i="1" s="1"/>
  <c r="D123" i="6" s="1"/>
  <c r="C48" i="6"/>
  <c r="S39" i="1"/>
  <c r="T39" i="1" s="1" a="1"/>
  <c r="T39" i="1" s="1"/>
  <c r="D48" i="6" s="1"/>
  <c r="C122" i="6"/>
  <c r="S113" i="1"/>
  <c r="T113" i="1" s="1" a="1"/>
  <c r="T113" i="1" s="1"/>
  <c r="D122" i="6" s="1"/>
  <c r="C120" i="6"/>
  <c r="S111" i="1"/>
  <c r="T111" i="1" s="1" a="1"/>
  <c r="T111" i="1" s="1"/>
  <c r="D120" i="6" s="1"/>
  <c r="C128" i="6"/>
  <c r="S119" i="1"/>
  <c r="C125" i="6"/>
  <c r="S116" i="1"/>
  <c r="T116" i="1" s="1" a="1"/>
  <c r="T116" i="1" s="1"/>
  <c r="D125" i="6" s="1"/>
  <c r="C117" i="6"/>
  <c r="S108" i="1"/>
  <c r="T108" i="1" s="1" a="1"/>
  <c r="T108" i="1" s="1"/>
  <c r="D117" i="6" s="1"/>
  <c r="C135" i="6"/>
  <c r="S126" i="1"/>
  <c r="T126" i="1" s="1" a="1"/>
  <c r="T126" i="1" s="1"/>
  <c r="D135" i="6" s="1"/>
  <c r="S100" i="1"/>
  <c r="T100" i="1" s="1" a="1"/>
  <c r="T100" i="1" s="1"/>
  <c r="D109" i="6" s="1"/>
  <c r="S70" i="1"/>
  <c r="T70" i="1" s="1" a="1"/>
  <c r="T70" i="1" s="1"/>
  <c r="D79" i="6" s="1"/>
  <c r="S99" i="1"/>
  <c r="T99" i="1" s="1" a="1"/>
  <c r="T99" i="1" s="1"/>
  <c r="D108" i="6" s="1"/>
  <c r="C118" i="6"/>
  <c r="S109" i="1"/>
  <c r="T109" i="1" s="1" a="1"/>
  <c r="T109" i="1" s="1"/>
  <c r="D118" i="6" s="1"/>
  <c r="C115" i="6"/>
  <c r="S106" i="1"/>
  <c r="T106" i="1" s="1" a="1"/>
  <c r="T106" i="1" s="1"/>
  <c r="D115" i="6" s="1"/>
  <c r="C133" i="6"/>
  <c r="S124" i="1"/>
  <c r="T124" i="1" s="1" a="1"/>
  <c r="T124" i="1" s="1"/>
  <c r="D133" i="6" s="1"/>
  <c r="C136" i="6"/>
  <c r="S127" i="1"/>
  <c r="T127" i="1" s="1" a="1"/>
  <c r="T127" i="1" s="1"/>
  <c r="D136" i="6" s="1"/>
  <c r="C69" i="6"/>
  <c r="C142" i="6"/>
  <c r="S133" i="1"/>
  <c r="T133" i="1" s="1" a="1"/>
  <c r="T133" i="1" s="1"/>
  <c r="D142" i="6" s="1"/>
  <c r="C141" i="6"/>
  <c r="S132" i="1"/>
  <c r="T132" i="1" s="1" a="1"/>
  <c r="T132" i="1" s="1"/>
  <c r="D141" i="6" s="1"/>
  <c r="S71" i="1"/>
  <c r="T71" i="1" s="1" a="1"/>
  <c r="T71" i="1" s="1"/>
  <c r="D80" i="6" s="1"/>
  <c r="C116" i="6"/>
  <c r="S107" i="1"/>
  <c r="T107" i="1" s="1" a="1"/>
  <c r="T107" i="1" s="1"/>
  <c r="D116" i="6" s="1"/>
  <c r="C134" i="6"/>
  <c r="S125" i="1"/>
  <c r="T125" i="1" s="1" a="1"/>
  <c r="T125" i="1" s="1"/>
  <c r="D134" i="6" s="1"/>
  <c r="C131" i="6"/>
  <c r="S122" i="1"/>
  <c r="T122" i="1" s="1" a="1"/>
  <c r="T122" i="1" s="1"/>
  <c r="D131" i="6" s="1"/>
  <c r="C132" i="6"/>
  <c r="S123" i="1"/>
  <c r="T123" i="1" s="1" a="1"/>
  <c r="T123" i="1" s="1"/>
  <c r="D132" i="6" s="1"/>
  <c r="C130" i="6"/>
  <c r="S121" i="1"/>
  <c r="T121" i="1" s="1" a="1"/>
  <c r="T121" i="1" s="1"/>
  <c r="D130" i="6" s="1"/>
  <c r="C145" i="6"/>
  <c r="S136" i="1"/>
  <c r="T136" i="1" s="1" a="1"/>
  <c r="T136" i="1" s="1"/>
  <c r="D145" i="6" s="1"/>
  <c r="C124" i="6"/>
  <c r="S115" i="1"/>
  <c r="T115" i="1" s="1" a="1"/>
  <c r="T115" i="1" s="1"/>
  <c r="D124" i="6" s="1"/>
  <c r="C121" i="6"/>
  <c r="S112" i="1"/>
  <c r="T112" i="1" s="1" a="1"/>
  <c r="T112" i="1" s="1"/>
  <c r="D121" i="6" s="1"/>
  <c r="S46" i="1"/>
  <c r="T46" i="1" s="1" a="1"/>
  <c r="T46" i="1" s="1"/>
  <c r="D55" i="6" s="1"/>
  <c r="S79" i="1"/>
  <c r="T79" i="1" s="1" a="1"/>
  <c r="T79" i="1" s="1"/>
  <c r="D88" i="6" s="1"/>
  <c r="C129" i="6"/>
  <c r="S120" i="1"/>
  <c r="T120" i="1" s="1" a="1"/>
  <c r="T120" i="1" s="1"/>
  <c r="D129" i="6" s="1"/>
  <c r="C144" i="6"/>
  <c r="S135" i="1"/>
  <c r="T135" i="1" s="1" a="1"/>
  <c r="T135" i="1" s="1"/>
  <c r="D144" i="6" s="1"/>
  <c r="S94" i="1"/>
  <c r="T94" i="1" s="1" a="1"/>
  <c r="T94" i="1" s="1"/>
  <c r="D103" i="6" s="1"/>
  <c r="S60" i="1"/>
  <c r="T60" i="1" s="1" a="1"/>
  <c r="T60" i="1" s="1"/>
  <c r="D69" i="6" s="1"/>
  <c r="S68" i="1"/>
  <c r="T68" i="1" s="1" a="1"/>
  <c r="T68" i="1" s="1"/>
  <c r="D77" i="6" s="1"/>
  <c r="S87" i="1"/>
  <c r="T87" i="1" s="1" a="1"/>
  <c r="T87" i="1" s="1"/>
  <c r="D96" i="6" s="1"/>
  <c r="S86" i="1"/>
  <c r="T86" i="1" s="1" a="1"/>
  <c r="T86" i="1" s="1"/>
  <c r="D95" i="6" s="1"/>
  <c r="S66" i="1"/>
  <c r="T66" i="1" s="1" a="1"/>
  <c r="T66" i="1" s="1"/>
  <c r="D75" i="6" s="1"/>
  <c r="S65" i="1"/>
  <c r="T65" i="1" s="1" a="1"/>
  <c r="T65" i="1" s="1"/>
  <c r="D74" i="6" s="1"/>
  <c r="S64" i="1"/>
  <c r="T64" i="1" s="1" a="1"/>
  <c r="T64" i="1" s="1"/>
  <c r="D73" i="6" s="1"/>
  <c r="S63" i="1"/>
  <c r="T63" i="1" s="1" a="1"/>
  <c r="T63" i="1" s="1"/>
  <c r="D72" i="6" s="1"/>
  <c r="S62" i="1"/>
  <c r="T62" i="1" s="1" a="1"/>
  <c r="T62" i="1" s="1"/>
  <c r="D71" i="6" s="1"/>
  <c r="S61" i="1"/>
  <c r="T61" i="1" s="1" a="1"/>
  <c r="T61" i="1" s="1"/>
  <c r="D70" i="6" s="1"/>
  <c r="S59" i="1"/>
  <c r="C73" i="6"/>
  <c r="C72" i="6"/>
  <c r="C71" i="6"/>
  <c r="C104" i="6"/>
  <c r="S95" i="1"/>
  <c r="T95" i="1" s="1" a="1"/>
  <c r="T95" i="1" s="1"/>
  <c r="D104" i="6" s="1"/>
  <c r="C98" i="6"/>
  <c r="S89" i="1"/>
  <c r="T89" i="1" s="1" a="1"/>
  <c r="T89" i="1" s="1"/>
  <c r="D98" i="6" s="1"/>
  <c r="C97" i="6"/>
  <c r="S88" i="1"/>
  <c r="T88" i="1" s="1" a="1"/>
  <c r="T88" i="1" s="1"/>
  <c r="D97" i="6" s="1"/>
  <c r="C94" i="6"/>
  <c r="S85" i="1"/>
  <c r="T85" i="1" s="1" a="1"/>
  <c r="T85" i="1" s="1"/>
  <c r="D94" i="6" s="1"/>
  <c r="C93" i="6"/>
  <c r="S84" i="1"/>
  <c r="T84" i="1" s="1" a="1"/>
  <c r="T84" i="1" s="1"/>
  <c r="D93" i="6" s="1"/>
  <c r="C110" i="6"/>
  <c r="C111" i="6"/>
  <c r="C109" i="6"/>
  <c r="C90" i="6"/>
  <c r="C83" i="6"/>
  <c r="C82" i="6"/>
  <c r="C80" i="6"/>
  <c r="C81" i="6"/>
  <c r="C85" i="6"/>
  <c r="C76" i="6"/>
  <c r="C74" i="6"/>
  <c r="C59" i="6"/>
  <c r="C61" i="6"/>
  <c r="C60" i="6"/>
  <c r="C55" i="6"/>
  <c r="C52" i="6"/>
  <c r="C57" i="6"/>
  <c r="C54" i="6"/>
  <c r="C53" i="6"/>
  <c r="C49" i="6"/>
  <c r="C70" i="6"/>
  <c r="C84" i="6"/>
  <c r="C63" i="6"/>
  <c r="C65" i="6"/>
  <c r="C68" i="6"/>
  <c r="C88" i="6"/>
  <c r="C89" i="6"/>
  <c r="C56" i="6"/>
  <c r="C91" i="6"/>
  <c r="C103" i="6"/>
  <c r="C64" i="6"/>
  <c r="C79" i="6"/>
  <c r="C96" i="6"/>
  <c r="C108" i="6"/>
  <c r="C62" i="6"/>
  <c r="C77" i="6"/>
  <c r="C95" i="6"/>
  <c r="C75" i="6"/>
  <c r="C86" i="6"/>
  <c r="P23" i="1"/>
  <c r="P24" i="1"/>
  <c r="P25" i="1"/>
  <c r="P22" i="1"/>
  <c r="B166" i="4" l="1"/>
  <c r="B171" i="5"/>
  <c r="B176" i="6"/>
  <c r="T119" i="1" a="1"/>
  <c r="T119" i="1" s="1"/>
  <c r="D128" i="6" s="1"/>
  <c r="T118" i="1" a="1"/>
  <c r="T118" i="1" s="1"/>
  <c r="D127" i="6" s="1"/>
  <c r="T59" i="1" a="1"/>
  <c r="T59" i="1" s="1"/>
  <c r="D68" i="6" s="1"/>
  <c r="C34" i="6"/>
  <c r="S25" i="1"/>
  <c r="T25" i="1" s="1" a="1"/>
  <c r="T25" i="1" s="1"/>
  <c r="D34" i="6" s="1"/>
  <c r="C33" i="6"/>
  <c r="S24" i="1"/>
  <c r="T24" i="1" s="1" a="1"/>
  <c r="T24" i="1" s="1"/>
  <c r="D33" i="6" s="1"/>
  <c r="H104" i="1"/>
  <c r="L104" i="1" s="1"/>
  <c r="H105" i="1"/>
  <c r="L105" i="1" s="1"/>
  <c r="H137" i="1"/>
  <c r="L137" i="1" s="1"/>
  <c r="L139" i="1"/>
  <c r="H22" i="1"/>
  <c r="L22" i="1" s="1"/>
  <c r="S22" i="1" s="1"/>
  <c r="T22" i="1" s="1" a="1"/>
  <c r="T22" i="1" s="1"/>
  <c r="D31" i="6" s="1"/>
  <c r="L23" i="1"/>
  <c r="H90" i="1"/>
  <c r="L90" i="1" s="1"/>
  <c r="H91" i="1"/>
  <c r="L91" i="1" s="1"/>
  <c r="H92" i="1"/>
  <c r="L92" i="1" s="1"/>
  <c r="H93" i="1"/>
  <c r="L93" i="1" s="1"/>
  <c r="H96" i="1"/>
  <c r="L96" i="1" s="1"/>
  <c r="H98" i="1"/>
  <c r="L98" i="1" s="1"/>
  <c r="C32" i="6" l="1"/>
  <c r="S23" i="1"/>
  <c r="T23" i="1" s="1" a="1"/>
  <c r="T23" i="1" s="1"/>
  <c r="D32" i="6" s="1"/>
  <c r="C113" i="6"/>
  <c r="S104" i="1"/>
  <c r="T104" i="1" s="1" a="1"/>
  <c r="T104" i="1" s="1"/>
  <c r="D113" i="6" s="1"/>
  <c r="C107" i="6"/>
  <c r="S98" i="1"/>
  <c r="T98" i="1" s="1" a="1"/>
  <c r="T98" i="1" s="1"/>
  <c r="D107" i="6" s="1"/>
  <c r="C148" i="6"/>
  <c r="S139" i="1"/>
  <c r="T139" i="1" s="1" a="1"/>
  <c r="T139" i="1" s="1"/>
  <c r="D148" i="6" s="1"/>
  <c r="C146" i="6"/>
  <c r="S137" i="1"/>
  <c r="T137" i="1" s="1" a="1"/>
  <c r="T137" i="1" s="1"/>
  <c r="D146" i="6" s="1"/>
  <c r="C114" i="6"/>
  <c r="S105" i="1"/>
  <c r="T105" i="1" s="1" a="1"/>
  <c r="T105" i="1" s="1"/>
  <c r="D114" i="6" s="1"/>
  <c r="C105" i="6"/>
  <c r="S96" i="1"/>
  <c r="T96" i="1" s="1" a="1"/>
  <c r="T96" i="1" s="1"/>
  <c r="D105" i="6" s="1"/>
  <c r="C102" i="6"/>
  <c r="S93" i="1"/>
  <c r="T93" i="1" s="1" a="1"/>
  <c r="T93" i="1" s="1"/>
  <c r="D102" i="6" s="1"/>
  <c r="C101" i="6"/>
  <c r="S92" i="1"/>
  <c r="T92" i="1" s="1" a="1"/>
  <c r="T92" i="1" s="1"/>
  <c r="D101" i="6" s="1"/>
  <c r="C100" i="6"/>
  <c r="S91" i="1"/>
  <c r="T91" i="1" s="1" a="1"/>
  <c r="T91" i="1" s="1"/>
  <c r="D100" i="6" s="1"/>
  <c r="C99" i="6"/>
  <c r="S90" i="1"/>
  <c r="T90" i="1" s="1" a="1"/>
  <c r="T90" i="1" s="1"/>
  <c r="D99" i="6" s="1"/>
  <c r="C31" i="6"/>
  <c r="H179" i="1"/>
  <c r="L179" i="1" s="1"/>
  <c r="H178" i="1"/>
  <c r="L178" i="1" s="1"/>
  <c r="H177" i="1"/>
  <c r="L177" i="1" s="1"/>
  <c r="H176" i="1"/>
  <c r="L176" i="1" s="1"/>
  <c r="H175" i="1"/>
  <c r="L175" i="1" s="1"/>
  <c r="H173" i="1"/>
  <c r="L173" i="1" s="1"/>
  <c r="H172" i="1"/>
  <c r="L172" i="1" s="1"/>
  <c r="H171" i="1"/>
  <c r="L171" i="1" s="1"/>
  <c r="H170" i="1"/>
  <c r="L170" i="1" s="1"/>
  <c r="H169" i="1"/>
  <c r="L169" i="1" s="1"/>
  <c r="H158" i="1"/>
  <c r="L158" i="1" s="1"/>
  <c r="H148" i="1"/>
  <c r="L148" i="1" s="1"/>
  <c r="H141" i="1"/>
  <c r="L141" i="1" s="1"/>
  <c r="C185" i="6" l="1"/>
  <c r="S176" i="1"/>
  <c r="T176" i="1" s="1" a="1"/>
  <c r="T176" i="1" s="1"/>
  <c r="C178" i="6"/>
  <c r="S169" i="1"/>
  <c r="T169" i="1" s="1" a="1"/>
  <c r="T169" i="1" s="1"/>
  <c r="C186" i="6"/>
  <c r="S177" i="1"/>
  <c r="T177" i="1" s="1" a="1"/>
  <c r="T177" i="1" s="1"/>
  <c r="C187" i="6"/>
  <c r="S178" i="1"/>
  <c r="T178" i="1" s="1" a="1"/>
  <c r="T178" i="1" s="1"/>
  <c r="C181" i="6"/>
  <c r="S172" i="1"/>
  <c r="T172" i="1" s="1" a="1"/>
  <c r="T172" i="1" s="1"/>
  <c r="C157" i="6"/>
  <c r="S148" i="1"/>
  <c r="T148" i="1" s="1" a="1"/>
  <c r="T148" i="1" s="1"/>
  <c r="C167" i="6"/>
  <c r="S158" i="1"/>
  <c r="T158" i="1" s="1" a="1"/>
  <c r="T158" i="1" s="1"/>
  <c r="C179" i="6"/>
  <c r="S170" i="1"/>
  <c r="T170" i="1" s="1" a="1"/>
  <c r="T170" i="1" s="1"/>
  <c r="C180" i="6"/>
  <c r="S171" i="1"/>
  <c r="T171" i="1" s="1" a="1"/>
  <c r="T171" i="1" s="1"/>
  <c r="C188" i="6"/>
  <c r="S179" i="1"/>
  <c r="T179" i="1" s="1" a="1"/>
  <c r="T179" i="1" s="1"/>
  <c r="C182" i="6"/>
  <c r="S173" i="1"/>
  <c r="T173" i="1" s="1" a="1"/>
  <c r="T173" i="1" s="1"/>
  <c r="C150" i="6"/>
  <c r="S141" i="1"/>
  <c r="T141" i="1" s="1" a="1"/>
  <c r="T141" i="1" s="1"/>
  <c r="C184" i="6"/>
  <c r="S175" i="1"/>
  <c r="T175" i="1" s="1" a="1"/>
  <c r="T175" i="1" s="1"/>
  <c r="L180" i="1"/>
  <c r="P180" i="1"/>
  <c r="K185" i="5" s="1"/>
  <c r="H180" i="1"/>
  <c r="D186" i="6" l="1"/>
  <c r="B177" i="1"/>
  <c r="D178" i="6"/>
  <c r="B169" i="1"/>
  <c r="D167" i="6"/>
  <c r="B158" i="1"/>
  <c r="D184" i="6"/>
  <c r="B175" i="1"/>
  <c r="D187" i="6"/>
  <c r="B178" i="1"/>
  <c r="D188" i="6"/>
  <c r="B179" i="1"/>
  <c r="D179" i="6"/>
  <c r="B170" i="1"/>
  <c r="D181" i="6"/>
  <c r="B172" i="1"/>
  <c r="D185" i="6"/>
  <c r="B176" i="1"/>
  <c r="D157" i="6"/>
  <c r="B148" i="1"/>
  <c r="D180" i="6"/>
  <c r="B171" i="1"/>
  <c r="D150" i="6"/>
  <c r="B141" i="1"/>
  <c r="D182" i="6"/>
  <c r="B173" i="1"/>
  <c r="C189" i="6"/>
  <c r="K192" i="5"/>
  <c r="K190" i="5" s="1"/>
  <c r="K197" i="5" s="1"/>
  <c r="M192" i="5"/>
  <c r="K200" i="5" s="1"/>
  <c r="N187" i="1"/>
  <c r="L195" i="1" s="1"/>
  <c r="L187" i="1"/>
  <c r="L185" i="1" s="1"/>
  <c r="L192" i="1" s="1"/>
  <c r="B176" i="4" l="1"/>
  <c r="B181" i="5"/>
  <c r="B186" i="6"/>
  <c r="B178" i="4"/>
  <c r="B183" i="5"/>
  <c r="B188" i="6"/>
  <c r="B182" i="5"/>
  <c r="B187" i="6"/>
  <c r="B177" i="4"/>
  <c r="B185" i="6"/>
  <c r="B180" i="5"/>
  <c r="B175" i="4"/>
  <c r="K189" i="5"/>
  <c r="K196" i="5" s="1"/>
  <c r="K198" i="5" s="1"/>
  <c r="K191" i="5"/>
  <c r="M191" i="5" s="1"/>
  <c r="M193" i="5" s="1"/>
  <c r="K199" i="5" s="1"/>
  <c r="K201" i="5" s="1"/>
  <c r="L184" i="1"/>
  <c r="L191" i="1" s="1"/>
  <c r="L193" i="1" s="1"/>
  <c r="L186" i="1"/>
  <c r="K202" i="5" l="1"/>
  <c r="K204" i="5" s="1"/>
  <c r="N186" i="1"/>
  <c r="N188" i="1" l="1"/>
  <c r="L194" i="1" s="1"/>
  <c r="L196" i="1" l="1"/>
  <c r="L197" i="1"/>
  <c r="L199" i="1" s="1"/>
  <c r="C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Omistaja</author>
  </authors>
  <commentList>
    <comment ref="C2" authorId="0" shapeId="0" xr:uid="{D5C234FD-0098-4AAB-839A-342A0A880613}">
      <text>
        <r>
          <rPr>
            <sz val="9"/>
            <color indexed="81"/>
            <rFont val="Tahoma"/>
            <family val="2"/>
          </rPr>
          <t xml:space="preserve">Tämä täytetty lomake kopioituu välilehtien </t>
        </r>
        <r>
          <rPr>
            <b/>
            <sz val="9"/>
            <color indexed="81"/>
            <rFont val="Tahoma"/>
            <family val="2"/>
          </rPr>
          <t>Kustannusarvion koonti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Talkootyön koonti</t>
        </r>
        <r>
          <rPr>
            <sz val="9"/>
            <color indexed="81"/>
            <rFont val="Tahoma"/>
            <family val="2"/>
          </rPr>
          <t xml:space="preserve"> sekä 
</t>
        </r>
        <r>
          <rPr>
            <b/>
            <sz val="9"/>
            <color indexed="81"/>
            <rFont val="Tahoma"/>
            <family val="2"/>
          </rPr>
          <t>Rakennusselostus koonti</t>
        </r>
        <r>
          <rPr>
            <sz val="9"/>
            <color indexed="81"/>
            <rFont val="Tahoma"/>
            <family val="2"/>
          </rPr>
          <t xml:space="preserve"> lomakkeisiin.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Omistaja</author>
  </authors>
  <commentList>
    <comment ref="D6" authorId="0" shapeId="0" xr:uid="{EF68B75A-93B8-4AEA-A387-169F1DB909FF}">
      <text>
        <r>
          <rPr>
            <b/>
            <sz val="9"/>
            <color indexed="81"/>
            <rFont val="Tahoma"/>
            <family val="2"/>
          </rPr>
          <t>Kirjoita selitteeseen mistä materiaalista on kyse.</t>
        </r>
        <r>
          <rPr>
            <sz val="9"/>
            <color indexed="81"/>
            <rFont val="Tahoma"/>
            <family val="2"/>
          </rPr>
          <t xml:space="preserve"> Esim. 
Murske 0-16 mm 
Runkopuutavara mitallistettu 58x98
Terassilauta kestopuu 28x95 uritettu
Konesaumattu pelti punainen matta 0,5 mm</t>
        </r>
      </text>
    </comment>
    <comment ref="G6" authorId="0" shapeId="0" xr:uid="{64FC1464-1C27-49D1-81A7-1E1D17552831}">
      <text>
        <r>
          <rPr>
            <sz val="9"/>
            <color indexed="81"/>
            <rFont val="Tahoma"/>
            <family val="2"/>
          </rPr>
          <t>Merkitse á hinnan lisäksi edellisen soluun yksikkö</t>
        </r>
      </text>
    </comment>
    <comment ref="I6" authorId="0" shapeId="0" xr:uid="{52C2FAC3-43A7-48C1-8AE8-88AD43C0EF1C}">
      <text>
        <r>
          <rPr>
            <sz val="9"/>
            <color indexed="81"/>
            <rFont val="Tahoma"/>
            <family val="2"/>
          </rPr>
          <t>Kirjaa tähän hintavertailun perusteella valittu urakkahinta</t>
        </r>
      </text>
    </comment>
    <comment ref="J6" authorId="0" shapeId="0" xr:uid="{67ACA057-68D9-4541-8660-224722FBE98C}">
      <text>
        <r>
          <rPr>
            <sz val="9"/>
            <color indexed="81"/>
            <rFont val="Tahoma"/>
            <family val="2"/>
          </rPr>
          <t xml:space="preserve"> Kirjaa tähän hintavertailun perusteella tuntityönä tehtävät tunnit.</t>
        </r>
      </text>
    </comment>
    <comment ref="K6" authorId="0" shapeId="0" xr:uid="{000AB9A3-D8F4-44F3-8CEB-452939A96469}">
      <text>
        <r>
          <rPr>
            <sz val="9"/>
            <color indexed="81"/>
            <rFont val="Tahoma"/>
            <family val="2"/>
          </rPr>
          <t>Jos urakoitsija tekee tuntityönä, kirjataan tuntityön hinta tähän, euroa/h</t>
        </r>
      </text>
    </comment>
    <comment ref="N6" authorId="0" shapeId="0" xr:uid="{0C8979B0-1DF4-4105-973B-4005498BE4D3}">
      <text>
        <r>
          <rPr>
            <sz val="9"/>
            <color indexed="81"/>
            <rFont val="Tahoma"/>
            <family val="2"/>
          </rPr>
          <t xml:space="preserve">Talkootyön hinta on 20 €/h
Tähän merkitään henkilön talkootyötunnit
</t>
        </r>
      </text>
    </comment>
    <comment ref="O6" authorId="0" shapeId="0" xr:uid="{C60AB8BE-3658-49E7-9C28-00D959F423F2}">
      <text>
        <r>
          <rPr>
            <sz val="9"/>
            <color indexed="81"/>
            <rFont val="Tahoma"/>
            <family val="2"/>
          </rPr>
          <t>Kone+ kuljettaja talkootyön hinta on 60 € / h.
Soluun merkitään kone + kuljettaja tunnit.</t>
        </r>
      </text>
    </comment>
    <comment ref="R6" authorId="0" shapeId="0" xr:uid="{2980C733-7C69-4066-ADBF-F7FB5B4C0717}">
      <text>
        <r>
          <rPr>
            <sz val="9"/>
            <color indexed="81"/>
            <rFont val="Tahoma"/>
            <family val="2"/>
          </rPr>
          <t xml:space="preserve">Kirjaa arvio töiden mukaan eriteltynä. Ilmoita lomakkeella vähintään 15 vuotta täyttäneen henkilön tekemä työ. 
Liitä välilehti </t>
        </r>
        <r>
          <rPr>
            <b/>
            <sz val="9"/>
            <color indexed="81"/>
            <rFont val="Tahoma"/>
            <family val="2"/>
          </rPr>
          <t>Talkootyön koonti</t>
        </r>
        <r>
          <rPr>
            <sz val="9"/>
            <color indexed="81"/>
            <rFont val="Tahoma"/>
            <family val="2"/>
          </rPr>
          <t xml:space="preserve"> tukihakemuksen liitteeksi.</t>
        </r>
      </text>
    </comment>
    <comment ref="B16" authorId="0" shapeId="0" xr:uid="{3ED8D202-7A2F-4E40-B340-A7DB734F32B9}">
      <text>
        <r>
          <rPr>
            <sz val="9"/>
            <color indexed="81"/>
            <rFont val="Tahoma"/>
            <family val="2"/>
          </rPr>
          <t>https://www.maanmittauslaitos.fi/kiinteistot/kiinteiston-omistajalle/rekisteroi-vuokraoikeus</t>
        </r>
      </text>
    </comment>
    <comment ref="C18" authorId="0" shapeId="0" xr:uid="{EC683D39-8B10-406E-9B0A-92E464348191}">
      <text>
        <r>
          <rPr>
            <sz val="9"/>
            <color indexed="81"/>
            <rFont val="Tahoma"/>
            <family val="2"/>
          </rPr>
          <t>Jos ylläolevista maksuista ei mikään sovi, 
niin voit kirjoittaa tähän oman tekstin.</t>
        </r>
      </text>
    </comment>
    <comment ref="C38" authorId="0" shapeId="0" xr:uid="{5A2E3996-5171-4F04-BAD7-EA3430EDF83C}">
      <text>
        <r>
          <rPr>
            <sz val="9"/>
            <color indexed="81"/>
            <rFont val="Tahoma"/>
            <family val="2"/>
          </rPr>
          <t>Voit kirjoittaa tähän oman tekstin</t>
        </r>
      </text>
    </comment>
    <comment ref="C56" authorId="0" shapeId="0" xr:uid="{0F8C71DD-CBED-43F1-89D2-FB3591FEFBF5}">
      <text>
        <r>
          <rPr>
            <sz val="9"/>
            <color indexed="81"/>
            <rFont val="Tahoma"/>
            <family val="2"/>
          </rPr>
          <t>Tähän voit kirjoittaa oman tekstin</t>
        </r>
      </text>
    </comment>
    <comment ref="C68" authorId="0" shapeId="0" xr:uid="{1E403BCB-FA5A-41E4-A9B4-CE09D794A216}">
      <text>
        <r>
          <rPr>
            <sz val="9"/>
            <color indexed="81"/>
            <rFont val="Tahoma"/>
            <family val="2"/>
          </rPr>
          <t>Tähän voit kirjoittaa  oman tekstin.</t>
        </r>
      </text>
    </comment>
    <comment ref="C77" authorId="0" shapeId="0" xr:uid="{EFE22ACE-F65C-49AA-91D7-C72F0E9DB3ED}">
      <text>
        <r>
          <rPr>
            <sz val="9"/>
            <color indexed="81"/>
            <rFont val="Tahoma"/>
            <family val="2"/>
          </rPr>
          <t>Tähän voit kirjoittaa oman tekstin.</t>
        </r>
      </text>
    </comment>
    <comment ref="C82" authorId="0" shapeId="0" xr:uid="{8BCAD58F-B423-44B9-96C2-89E89B962E6E}">
      <text>
        <r>
          <rPr>
            <sz val="9"/>
            <color indexed="81"/>
            <rFont val="Tahoma"/>
            <family val="2"/>
          </rPr>
          <t>Tähän voit kirjoittaa oman tekstin</t>
        </r>
        <r>
          <rPr>
            <b/>
            <sz val="9"/>
            <color indexed="81"/>
            <rFont val="Tahoma"/>
            <family val="2"/>
          </rPr>
          <t>.</t>
        </r>
      </text>
    </comment>
    <comment ref="C96" authorId="0" shapeId="0" xr:uid="{D7474D78-29E5-4E90-BCE4-7D04D58E0A9F}">
      <text>
        <r>
          <rPr>
            <sz val="9"/>
            <color indexed="81"/>
            <rFont val="Tahoma"/>
            <family val="2"/>
          </rPr>
          <t>Tähän voit kirjoittaa oman tekstin.</t>
        </r>
      </text>
    </comment>
    <comment ref="C128" authorId="0" shapeId="0" xr:uid="{BB564E75-C89E-4B40-9B8B-F32FD5C3A8D6}">
      <text>
        <r>
          <rPr>
            <sz val="9"/>
            <color indexed="81"/>
            <rFont val="Tahoma"/>
            <family val="2"/>
          </rPr>
          <t>Tähän voit kirjoittaa oman tekstin.</t>
        </r>
      </text>
    </comment>
    <comment ref="C139" authorId="0" shapeId="0" xr:uid="{3709CE58-A005-4687-AFD7-5DFAF58C945F}">
      <text>
        <r>
          <rPr>
            <sz val="9"/>
            <color indexed="81"/>
            <rFont val="Tahoma"/>
            <family val="2"/>
          </rPr>
          <t>Tähän voit kirjoittaa oman tekstin.</t>
        </r>
      </text>
    </comment>
    <comment ref="C167" authorId="0" shapeId="0" xr:uid="{C790F242-083B-4435-8081-ECD090C68732}">
      <text>
        <r>
          <rPr>
            <sz val="9"/>
            <color indexed="81"/>
            <rFont val="Tahoma"/>
            <family val="2"/>
          </rPr>
          <t>Tähän voit kirjoittaa oman tekstin</t>
        </r>
        <r>
          <rPr>
            <b/>
            <sz val="9"/>
            <color indexed="81"/>
            <rFont val="Tahoma"/>
            <family val="2"/>
          </rPr>
          <t>.</t>
        </r>
      </text>
    </comment>
    <comment ref="C176" authorId="0" shapeId="0" xr:uid="{12ECD618-37B5-4DC4-B326-71168BCC05FB}">
      <text>
        <r>
          <rPr>
            <sz val="9"/>
            <color indexed="81"/>
            <rFont val="Tahoma"/>
            <family val="2"/>
          </rPr>
          <t>Tähän voit kirjoittaa oman tekstin.</t>
        </r>
      </text>
    </comment>
    <comment ref="J184" authorId="0" shapeId="0" xr:uid="{2435019E-B329-43DC-A382-1641858D5460}">
      <text>
        <r>
          <rPr>
            <sz val="9"/>
            <color indexed="81"/>
            <rFont val="Tahoma"/>
            <family val="2"/>
          </rPr>
          <t>Rahoittaja määrittelee myönnettävän tukiprosentin</t>
        </r>
      </text>
    </comment>
    <comment ref="J185" authorId="0" shapeId="0" xr:uid="{5A48A18E-9F3E-4991-8B04-B58BFFFF3712}">
      <text>
        <r>
          <rPr>
            <sz val="9"/>
            <color indexed="81"/>
            <rFont val="Tahoma"/>
            <family val="2"/>
          </rPr>
          <t>Tarkasta omalta Leader alueeltasi julkisen tuen määrä ja tarve.</t>
        </r>
      </text>
    </comment>
    <comment ref="J186" authorId="0" shapeId="0" xr:uid="{9546CB1B-1889-4693-9CF7-19FFD1E27AB9}">
      <text>
        <r>
          <rPr>
            <sz val="9"/>
            <color indexed="81"/>
            <rFont val="Tahoma"/>
            <family val="2"/>
          </rPr>
          <t>Tarkasta omalta Leader alueeltasi vaaditaanko yksityisestä rahasta pakollinen osuus rahallista rahaa.</t>
        </r>
      </text>
    </comment>
    <comment ref="N186" authorId="0" shapeId="0" xr:uid="{D3D8DB99-1799-4198-90B3-94F7611DBC33}">
      <text>
        <r>
          <rPr>
            <sz val="9"/>
            <color indexed="81"/>
            <rFont val="Tahoma"/>
            <family val="2"/>
          </rPr>
          <t>Yksityinen raha jakaantuu talkootyöosuuteen sekä yksityiseen rahaan.</t>
        </r>
      </text>
    </comment>
    <comment ref="J187" authorId="0" shapeId="0" xr:uid="{E0B740F1-2A0F-453D-92F1-6269AF0E770F}">
      <text>
        <r>
          <rPr>
            <sz val="9"/>
            <color indexed="81"/>
            <rFont val="Tahoma"/>
            <family val="2"/>
          </rPr>
          <t>Kokonaiskustannukset muodostuvat tositteellisten kustannuksten ja vastikkeettoman työn summasta</t>
        </r>
      </text>
    </comment>
    <comment ref="N187" authorId="0" shapeId="0" xr:uid="{2C32E49A-80C5-42F3-8AAC-E444A769FAC2}">
      <text>
        <r>
          <rPr>
            <sz val="9"/>
            <color indexed="81"/>
            <rFont val="Tahoma"/>
            <family val="2"/>
          </rPr>
          <t>Kustannusarvioissa</t>
        </r>
        <r>
          <rPr>
            <b/>
            <sz val="9"/>
            <color indexed="81"/>
            <rFont val="Tahoma"/>
            <family val="2"/>
          </rPr>
          <t xml:space="preserve"> suunniteltu vastikkeeton työ</t>
        </r>
        <r>
          <rPr>
            <sz val="9"/>
            <color indexed="81"/>
            <rFont val="Tahoma"/>
            <family val="2"/>
          </rPr>
          <t xml:space="preserve"> kirjautuu tähän.
Jos solu on </t>
        </r>
        <r>
          <rPr>
            <b/>
            <sz val="9"/>
            <color indexed="81"/>
            <rFont val="Tahoma"/>
            <family val="2"/>
          </rPr>
          <t>musta, vastikkeetonta työtä on kirjattu liikaa</t>
        </r>
        <r>
          <rPr>
            <sz val="9"/>
            <color indexed="81"/>
            <rFont val="Tahoma"/>
            <family val="2"/>
          </rPr>
          <t>, sinun tulee silloin ottaa yhteyttä rahoittajaan ja keskustella talkootöiden sisällöstä talkootyösuunnitelmassa.</t>
        </r>
      </text>
    </comment>
    <comment ref="N188" authorId="0" shapeId="0" xr:uid="{99B503BA-7A4A-4586-8113-2858C64F1A76}">
      <text>
        <r>
          <rPr>
            <sz val="9"/>
            <color indexed="81"/>
            <rFont val="Tahoma"/>
            <family val="2"/>
          </rPr>
          <t>Suunnitellun talkootyön määrän lisäksi,  tarvitaan vielä tämän verran rahallista rahaa.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Omistaja</author>
  </authors>
  <commentList>
    <comment ref="J11" authorId="0" shapeId="0" xr:uid="{BD3565C3-0AC1-4FA9-B10D-5E433D044655}">
      <text>
        <r>
          <rPr>
            <sz val="9"/>
            <color indexed="81"/>
            <rFont val="Tahoma"/>
            <family val="2"/>
          </rPr>
          <t>Jos urakoitsija tekee tuntityönä, kirjataan tuntityön hinta tähän, euroa/h</t>
        </r>
      </text>
    </comment>
    <comment ref="C12" authorId="0" shapeId="0" xr:uid="{7A14A964-25C8-4271-A70F-DD8DE4D2A6E6}">
      <text>
        <r>
          <rPr>
            <sz val="9"/>
            <color indexed="81"/>
            <rFont val="Tahoma"/>
            <family val="2"/>
          </rPr>
          <t xml:space="preserve">Jos teksti menee solun rajojen yli, niin valitse ylävalikosta </t>
        </r>
        <r>
          <rPr>
            <b/>
            <sz val="9"/>
            <color indexed="81"/>
            <rFont val="Tahoma"/>
            <family val="2"/>
          </rPr>
          <t>Aloitus</t>
        </r>
        <r>
          <rPr>
            <sz val="9"/>
            <color indexed="81"/>
            <rFont val="Tahoma"/>
            <family val="2"/>
          </rPr>
          <t xml:space="preserve"> -&gt; </t>
        </r>
        <r>
          <rPr>
            <b/>
            <sz val="9"/>
            <color indexed="81"/>
            <rFont val="Tahoma"/>
            <family val="2"/>
          </rPr>
          <t xml:space="preserve">Rivitä teksti
</t>
        </r>
        <r>
          <rPr>
            <sz val="9"/>
            <color indexed="81"/>
            <rFont val="Tahoma"/>
            <family val="2"/>
          </rPr>
          <t>Lisätietoa ohjeessa.</t>
        </r>
      </text>
    </comment>
    <comment ref="B21" authorId="0" shapeId="0" xr:uid="{794E9E7B-E92B-4A2E-B67B-82B4752AA44F}">
      <text>
        <r>
          <rPr>
            <sz val="9"/>
            <color indexed="81"/>
            <rFont val="Tahoma"/>
            <family val="2"/>
          </rPr>
          <t>https://www.maanmittauslaitos.fi/kiinteistot/kiinteiston-omistajalle/rekisteroi-vuokraoikeus</t>
        </r>
      </text>
    </comment>
    <comment ref="M191" authorId="0" shapeId="0" xr:uid="{EBAED470-BC44-4103-90F8-706CE31FDA39}">
      <text>
        <r>
          <rPr>
            <sz val="9"/>
            <color indexed="81"/>
            <rFont val="Tahoma"/>
            <family val="2"/>
          </rPr>
          <t>Yksityinen raha jakaantuu talkootyöosuuteen sekä yksityiseen rahaan.</t>
        </r>
      </text>
    </comment>
    <comment ref="M192" authorId="0" shapeId="0" xr:uid="{005A6041-76DA-48E9-9171-229F45D86793}">
      <text>
        <r>
          <rPr>
            <sz val="9"/>
            <color indexed="81"/>
            <rFont val="Tahoma"/>
            <family val="2"/>
          </rPr>
          <t>Kustannusarvioissa</t>
        </r>
        <r>
          <rPr>
            <b/>
            <sz val="9"/>
            <color indexed="81"/>
            <rFont val="Tahoma"/>
            <family val="2"/>
          </rPr>
          <t xml:space="preserve"> suunniteltu vastikkeeton työ</t>
        </r>
        <r>
          <rPr>
            <sz val="9"/>
            <color indexed="81"/>
            <rFont val="Tahoma"/>
            <family val="2"/>
          </rPr>
          <t xml:space="preserve"> kirjautuu tähän.
Jos solu on </t>
        </r>
        <r>
          <rPr>
            <b/>
            <sz val="9"/>
            <color indexed="81"/>
            <rFont val="Tahoma"/>
            <family val="2"/>
          </rPr>
          <t>musta, vastikkeetonta työtä on kirjattu liikaa</t>
        </r>
        <r>
          <rPr>
            <sz val="9"/>
            <color indexed="81"/>
            <rFont val="Tahoma"/>
            <family val="2"/>
          </rPr>
          <t>, sinun tulee silloin ottaa yhteyttä rahoittajaan ja keskustella talkootöiden sisällöstä talkootyösuunnitelmassa.</t>
        </r>
      </text>
    </comment>
    <comment ref="M193" authorId="0" shapeId="0" xr:uid="{DEF58759-5B41-46FA-AE07-EAFF1CC6DF9A}">
      <text>
        <r>
          <rPr>
            <sz val="9"/>
            <color indexed="81"/>
            <rFont val="Tahoma"/>
            <family val="2"/>
          </rPr>
          <t>Suunnitellun talkootyön määrän lisäksi,  tarvitaan vielä tämän verran rahallista rahaa.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Omistaja</author>
  </authors>
  <commentList>
    <comment ref="B1" authorId="0" shapeId="0" xr:uid="{2CA19A10-9C44-4177-B747-7001B7AED364}">
      <text>
        <r>
          <rPr>
            <sz val="9"/>
            <color indexed="81"/>
            <rFont val="Tahoma"/>
            <family val="2"/>
          </rPr>
          <t xml:space="preserve">
Tiedot tulevat </t>
        </r>
        <r>
          <rPr>
            <b/>
            <sz val="9"/>
            <color indexed="81"/>
            <rFont val="Tahoma"/>
            <family val="2"/>
          </rPr>
          <t>Hankkeen tiedot</t>
        </r>
        <r>
          <rPr>
            <sz val="9"/>
            <color indexed="81"/>
            <rFont val="Tahoma"/>
            <family val="2"/>
          </rPr>
          <t xml:space="preserve"> välilehdeltä.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Omistaja</author>
  </authors>
  <commentList>
    <comment ref="B2" authorId="0" shapeId="0" xr:uid="{6949706E-8122-4DF2-BCBF-6A07372DE6AB}">
      <text>
        <r>
          <rPr>
            <sz val="9"/>
            <color indexed="81"/>
            <rFont val="Tahoma"/>
            <family val="2"/>
          </rPr>
          <t xml:space="preserve">Tätä taulukkoa ei voi muokata.
Valitse </t>
        </r>
        <r>
          <rPr>
            <b/>
            <sz val="9"/>
            <color indexed="81"/>
            <rFont val="Tahoma"/>
            <family val="2"/>
          </rPr>
          <t>Tiedosto</t>
        </r>
        <r>
          <rPr>
            <sz val="9"/>
            <color indexed="81"/>
            <rFont val="Tahoma"/>
            <family val="2"/>
          </rPr>
          <t xml:space="preserve"> -&gt; </t>
        </r>
        <r>
          <rPr>
            <b/>
            <sz val="9"/>
            <color indexed="81"/>
            <rFont val="Tahoma"/>
            <family val="2"/>
          </rPr>
          <t>Tulosta</t>
        </r>
        <r>
          <rPr>
            <sz val="9"/>
            <color indexed="81"/>
            <rFont val="Tahoma"/>
            <family val="2"/>
          </rPr>
          <t xml:space="preserve"> -&gt; valitse tulostimeksi </t>
        </r>
        <r>
          <rPr>
            <b/>
            <sz val="9"/>
            <color indexed="81"/>
            <rFont val="Tahoma"/>
            <family val="2"/>
          </rPr>
          <t>Microsoft Print to PDF</t>
        </r>
        <r>
          <rPr>
            <sz val="9"/>
            <color indexed="81"/>
            <rFont val="Tahoma"/>
            <family val="2"/>
          </rPr>
          <t xml:space="preserve">. Valitse </t>
        </r>
        <r>
          <rPr>
            <b/>
            <sz val="9"/>
            <color indexed="81"/>
            <rFont val="Tahoma"/>
            <family val="2"/>
          </rPr>
          <t>Tulosta</t>
        </r>
        <r>
          <rPr>
            <sz val="9"/>
            <color indexed="81"/>
            <rFont val="Tahoma"/>
            <family val="2"/>
          </rPr>
          <t xml:space="preserve"> (Tulostusta ei tapahdu, vaan seuravaksi ohjelma kysyy mihin kansioon .pdf tulostus tehdään. 
Valitaan kansio ja annetaan tiedostonimi).
Valitse kansio omalta koneeltasi, mihin haluat dokumentin tallentuvan.
</t>
        </r>
      </text>
    </comment>
    <comment ref="B3" authorId="0" shapeId="0" xr:uid="{FAEF5E79-DAAE-406F-89A6-E09880ED4B14}">
      <text>
        <r>
          <rPr>
            <sz val="9"/>
            <color indexed="81"/>
            <rFont val="Tahoma"/>
            <family val="2"/>
          </rPr>
          <t>Nämä tiedot tulevat Hankkeen tiedot välilehdeltä.</t>
        </r>
      </text>
    </comment>
    <comment ref="B9" authorId="0" shapeId="0" xr:uid="{E5DAB118-2571-4560-A5CD-A935D54DC48A}">
      <text>
        <r>
          <rPr>
            <sz val="9"/>
            <color indexed="81"/>
            <rFont val="Tahoma"/>
            <family val="2"/>
          </rPr>
          <t>Nämä tiedot tulevat Hankkeen tiedot välilehdeltä.</t>
        </r>
      </text>
    </comment>
    <comment ref="C14" authorId="0" shapeId="0" xr:uid="{5686FED5-1F6C-4457-9470-DF3BAF6D4862}">
      <text>
        <r>
          <rPr>
            <sz val="9"/>
            <color indexed="81"/>
            <rFont val="Tahoma"/>
            <family val="2"/>
          </rPr>
          <t>Tähän alla olevaan sarakkeeseen tulostuu hankintojen ja vastikkeettoman työn summa</t>
        </r>
      </text>
    </comment>
    <comment ref="B25" authorId="0" shapeId="0" xr:uid="{6B3FE8D4-5A96-4A72-8929-50A6D9C65CDC}">
      <text>
        <r>
          <rPr>
            <sz val="9"/>
            <color indexed="81"/>
            <rFont val="Tahoma"/>
            <family val="2"/>
          </rPr>
          <t>https://www.maanmittauslaitos.fi/kiinteistot/kiinteiston-omistajalle/rekisteroi-vuokraoikeus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<sst xmlns="http://schemas.openxmlformats.org/spreadsheetml/2006/main" count="633" uniqueCount="268">
  <si>
    <t xml:space="preserve">Kustannusarvion laatija: </t>
  </si>
  <si>
    <t xml:space="preserve">Lähiosoite: </t>
  </si>
  <si>
    <t xml:space="preserve">Investointihankkeen nimi: </t>
  </si>
  <si>
    <t xml:space="preserve">Päiväys: </t>
  </si>
  <si>
    <t xml:space="preserve"> Korjausrakentamisen kustannusarvio</t>
  </si>
  <si>
    <t>Materiaalit ja ostopalvelut</t>
  </si>
  <si>
    <t xml:space="preserve"> Hinnat sisältävät ALV:n</t>
  </si>
  <si>
    <t xml:space="preserve"> Hinnat ilman ALV:a</t>
  </si>
  <si>
    <t>Määrä</t>
  </si>
  <si>
    <t>Yksikkö  (m2, jm, m3…)</t>
  </si>
  <si>
    <t>á hinta €</t>
  </si>
  <si>
    <t>Materiaali Yhteensä</t>
  </si>
  <si>
    <t>Urakka-hinta</t>
  </si>
  <si>
    <t>Tuntityönä tehdyt tunnit</t>
  </si>
  <si>
    <t xml:space="preserve">Työ ja materiaali Yhteensä </t>
  </si>
  <si>
    <t>Konetyö + kuljettaja tunnit h (talkoo)</t>
  </si>
  <si>
    <t>Talkootyö yhteensä €</t>
  </si>
  <si>
    <t>Vesikatteen purkaminen</t>
  </si>
  <si>
    <t>Välipohjan purkaminen</t>
  </si>
  <si>
    <t>Routasuojaus</t>
  </si>
  <si>
    <t>Kiintokalusteet</t>
  </si>
  <si>
    <t>Viemärit</t>
  </si>
  <si>
    <t>Lattiakaivot</t>
  </si>
  <si>
    <t>Automaatiojärjestelmä</t>
  </si>
  <si>
    <t>Nostot</t>
  </si>
  <si>
    <t>Siirrot</t>
  </si>
  <si>
    <t>Vakuutukset</t>
  </si>
  <si>
    <t>Katselmukset</t>
  </si>
  <si>
    <t>LVIS liittymismaksut</t>
  </si>
  <si>
    <r>
      <t>m</t>
    </r>
    <r>
      <rPr>
        <vertAlign val="superscript"/>
        <sz val="11"/>
        <color theme="0"/>
        <rFont val="Calibri"/>
        <family val="2"/>
        <scheme val="minor"/>
      </rPr>
      <t>2</t>
    </r>
  </si>
  <si>
    <r>
      <t>m</t>
    </r>
    <r>
      <rPr>
        <vertAlign val="superscript"/>
        <sz val="11"/>
        <color theme="0"/>
        <rFont val="Calibri"/>
        <family val="2"/>
        <scheme val="minor"/>
      </rPr>
      <t>3</t>
    </r>
  </si>
  <si>
    <t>jm</t>
  </si>
  <si>
    <t>kpl</t>
  </si>
  <si>
    <t>kg</t>
  </si>
  <si>
    <t>l</t>
  </si>
  <si>
    <t>h</t>
  </si>
  <si>
    <t>pv</t>
  </si>
  <si>
    <t>erä</t>
  </si>
  <si>
    <t>Syntyneitä kustannuksia</t>
  </si>
  <si>
    <t>Julkisivut</t>
  </si>
  <si>
    <t>Perustukset, perusmuurit, sokkelit</t>
  </si>
  <si>
    <t>Perusmuurin purku</t>
  </si>
  <si>
    <t>Perusmuurin betonivalu</t>
  </si>
  <si>
    <t>Perusmuurin harkkomuuraus</t>
  </si>
  <si>
    <t>Alapohjat, ryömintätilat</t>
  </si>
  <si>
    <t>Ryömintätilan maa-aineksen poistaminen</t>
  </si>
  <si>
    <t>Alapohjan uuden rungon rakentaminen</t>
  </si>
  <si>
    <t>Alapohjan rungon lahovaurioiden korjaaminen</t>
  </si>
  <si>
    <t>Routasuojaus ja täyttö</t>
  </si>
  <si>
    <t>Kantavien rakenteiden tukeminen ennen purkamista</t>
  </si>
  <si>
    <t>Kantavien rakenteiden purkaminen</t>
  </si>
  <si>
    <t>Runko (ulko- ja väliseinät)</t>
  </si>
  <si>
    <t>Välipohjan rakenteiden korjaustyö</t>
  </si>
  <si>
    <t>Uusien portaiden rakentaminen</t>
  </si>
  <si>
    <t>Ulkoseinien pintakäsittely</t>
  </si>
  <si>
    <t>Ulkoseinien pintaverhouksien uusiminen</t>
  </si>
  <si>
    <t>Ulkoseinien pintaverhouksien purkaminen</t>
  </si>
  <si>
    <t>Ikkunoiden uusiminen</t>
  </si>
  <si>
    <t>Ulko-ovien uusiminen</t>
  </si>
  <si>
    <t>Ulkotasot</t>
  </si>
  <si>
    <t>Vesikatot</t>
  </si>
  <si>
    <t>Vesikatteen alusrakenteen uusiminen / kunnostaminen</t>
  </si>
  <si>
    <t>Vesikaton lämmöneristyksen purku ja  uusiminen</t>
  </si>
  <si>
    <t>Vesikatteen paikkakorjaukset</t>
  </si>
  <si>
    <t>Räystäsrakenteiden purkaminen</t>
  </si>
  <si>
    <t>Kattoturvatuotteet</t>
  </si>
  <si>
    <t>Väliseinien purkaminen</t>
  </si>
  <si>
    <t>Uuden väliseinän rakentaminen</t>
  </si>
  <si>
    <t>Tilan jako-osat</t>
  </si>
  <si>
    <t>Lasitukset</t>
  </si>
  <si>
    <t>Kattoikkuna tai -luukku</t>
  </si>
  <si>
    <t>Väliovien korjaus ja kunnostaminen</t>
  </si>
  <si>
    <t>Lautalattian purkaminen</t>
  </si>
  <si>
    <t>Lattian pinnoittaminen (lauta, parketti, laatta tai vastaava)</t>
  </si>
  <si>
    <t>Lattian levytys (kipsilevy, lastulevy tai vastaava)</t>
  </si>
  <si>
    <t>Lattian tasoitus ja maalaus</t>
  </si>
  <si>
    <t>Alakaton purkaminen</t>
  </si>
  <si>
    <t>Alakaton paikkauskorjaus</t>
  </si>
  <si>
    <t>Kattopintojen verhous (levy, paneeli tai vastaava)</t>
  </si>
  <si>
    <t>Sisäpinnat ja pintarakenteet</t>
  </si>
  <si>
    <t xml:space="preserve">Alakattojen pinnoittaminen </t>
  </si>
  <si>
    <t>Sisäseinien pinnoittaminen (maalaus, laatta, tapetointi)</t>
  </si>
  <si>
    <t>Lattiapinnoitteen purkaminen (matto, laatta, parketti)</t>
  </si>
  <si>
    <t>Märkätilan ja saunan pintojen purkaminen</t>
  </si>
  <si>
    <t>Märkätilojen lattian pinnoitukset</t>
  </si>
  <si>
    <t>Märkätilojen seinien pinnoitukset</t>
  </si>
  <si>
    <t>Saunan lauteet</t>
  </si>
  <si>
    <t>Saunan seinien ja katon verhoukset</t>
  </si>
  <si>
    <t>Saunan ovi</t>
  </si>
  <si>
    <t>Porraskaiteiden uusiminen tai kunnostaminen</t>
  </si>
  <si>
    <t>Jalkalistojen uusiminen</t>
  </si>
  <si>
    <t>Ovilistojen uusiminen</t>
  </si>
  <si>
    <t>Ikkunalistojen uusiminen</t>
  </si>
  <si>
    <t>Kattolistojen uusiminen</t>
  </si>
  <si>
    <t xml:space="preserve">Kantavien rakenteiden korjaustyö </t>
  </si>
  <si>
    <t>Yläpohjan lisäeristäminen</t>
  </si>
  <si>
    <t>Tulisijojen korjaus tai uusiminen</t>
  </si>
  <si>
    <t>Savuhormien kunnostaminen</t>
  </si>
  <si>
    <t>Rakennusselostus</t>
  </si>
  <si>
    <t>Ryömintätilan orgaanisen aineksen poistaminen</t>
  </si>
  <si>
    <t>Alapohjan lisäeristäminen</t>
  </si>
  <si>
    <t>Ikkunoiden kunnostaminen</t>
  </si>
  <si>
    <t>Ulko-ovien kunnostaminen</t>
  </si>
  <si>
    <t>Parvekkeiden kunnostaminen</t>
  </si>
  <si>
    <t>Terassien kunnostaminen</t>
  </si>
  <si>
    <t>Uuden vesikatteen asentaminen</t>
  </si>
  <si>
    <t>Valokatteen asentaminen</t>
  </si>
  <si>
    <t>Vesipeltien asentaminen</t>
  </si>
  <si>
    <t>Lämmitysjärjestelmä (uusiminen tai korjaaminen)</t>
  </si>
  <si>
    <t>Ilmanvaihtojärjestelmä (uusiminen tai korjaaminen)</t>
  </si>
  <si>
    <t>Energia</t>
  </si>
  <si>
    <t>Uusien väliovien hankinta ja asentaminen</t>
  </si>
  <si>
    <t>Rahoittaja määrittelee tukiprosentin</t>
  </si>
  <si>
    <t>Pientuulivoimalan rakentaminen alle 50 kW</t>
  </si>
  <si>
    <t>Kokonaiskustannukset</t>
  </si>
  <si>
    <t>Rakennuksen käytötarkoitus</t>
  </si>
  <si>
    <t>Rakennuksen päämitat</t>
  </si>
  <si>
    <t>Kerrosala</t>
  </si>
  <si>
    <t xml:space="preserve">Ulkoseinän koolaus ja lisäeristäminen </t>
  </si>
  <si>
    <t>Sadevesikourujen ja alastulojen uusiminen</t>
  </si>
  <si>
    <t>Seinäverhouksen purkaminen</t>
  </si>
  <si>
    <t>Märkätilojen vedeneritykset</t>
  </si>
  <si>
    <t>Energiakaivon poraaminen</t>
  </si>
  <si>
    <t>Maalämmön keruuputkistot ja maalämpöpumppu</t>
  </si>
  <si>
    <t xml:space="preserve">Tuntityö      € / h </t>
  </si>
  <si>
    <t>1.1 Hakijan nimi</t>
  </si>
  <si>
    <t>1.2 Y-tunnus / yhdistyksen rekisteröintinumero</t>
  </si>
  <si>
    <t>1.4 Hankkeen numero</t>
  </si>
  <si>
    <t>1.3 Hankkeen nimi</t>
  </si>
  <si>
    <t>Arvio vastikkeettoman työn laadusta ja määrästä</t>
  </si>
  <si>
    <t>Talo 2000 nimikkeistö</t>
  </si>
  <si>
    <t>Selite</t>
  </si>
  <si>
    <t>Kirjaa tähän mitä työtä talkoilla on tarkoitus tehdä</t>
  </si>
  <si>
    <t>Rahoitussuunnitelma</t>
  </si>
  <si>
    <t>MYÖNNETTÄVÄ TUKI</t>
  </si>
  <si>
    <t>MUU JULKINEN TUKI</t>
  </si>
  <si>
    <t>YKSITYINEN RAHA</t>
  </si>
  <si>
    <t>Haettava tuki/avustus</t>
  </si>
  <si>
    <t>Muu julkinen tuki</t>
  </si>
  <si>
    <t>Yksityinen rahoitus (rahallinen osuus)</t>
  </si>
  <si>
    <t>Yksityinen rahoitus (vastikketon työ)</t>
  </si>
  <si>
    <t>Rahoitus yhteensä</t>
  </si>
  <si>
    <t>Kokonaisrahoitus</t>
  </si>
  <si>
    <t>Julkinen kokonaisrahoitus</t>
  </si>
  <si>
    <t>Yksityinen rahoitus yhteensä</t>
  </si>
  <si>
    <t>Hankkeen tulot (vähentää kokonaisrahoitusta)</t>
  </si>
  <si>
    <t>Talo 2000 -nimikkeistö</t>
  </si>
  <si>
    <t xml:space="preserve">Kirjaa tähän mitä työtä talkoilla on tarkoityus tehdä.         </t>
  </si>
  <si>
    <t>KUSTANNUSARVIO</t>
  </si>
  <si>
    <t>Investointihankkeen nimi</t>
  </si>
  <si>
    <t>Kustannusarvion laatija</t>
  </si>
  <si>
    <t>Ammatti / koulutus</t>
  </si>
  <si>
    <t>Lähiosoite</t>
  </si>
  <si>
    <t>Postinumero ja -toimipaikka</t>
  </si>
  <si>
    <t>Päiväys</t>
  </si>
  <si>
    <t>VASTIKKEETTOMAN TYÖN MÄÄRÄ JA LAATU</t>
  </si>
  <si>
    <t>Hakijan nimi</t>
  </si>
  <si>
    <t>Y-tunnus / yhdistyksen rekisterinumero</t>
  </si>
  <si>
    <t>Hankkeen nimi</t>
  </si>
  <si>
    <t>Hankkeen numero</t>
  </si>
  <si>
    <t>RAKENNUSSELOSTUS</t>
  </si>
  <si>
    <t>Rakennuspaikan osoite</t>
  </si>
  <si>
    <r>
      <t xml:space="preserve">Rakennusselostuksessa kuvataan työtavat, rakentamisessa käytettävät materiaalit, mitat, pintakäsittelyt, rakentamistapa, lämmitys-, ilmanvaihto- ja jäähdytysjärjestelmät. </t>
    </r>
    <r>
      <rPr>
        <b/>
        <sz val="10"/>
        <color theme="1"/>
        <rFont val="Calibri"/>
        <family val="2"/>
        <scheme val="minor"/>
      </rPr>
      <t>Rakennuselostuksessa yksilöidään mitä kussakin kohdassa on tarkoitus tehdä. 
Esim.: Rakennuksen pilarianturat 8 kpl 400 x 400 laudoitetaan, raudoitetaan harjateräksellä B500B ja valetaan lujuusluokan C20/25 betonilla.</t>
    </r>
  </si>
  <si>
    <t>SUUNNITTELU JA MAKSUT</t>
  </si>
  <si>
    <t>Arkkitehtisuunnittelu</t>
  </si>
  <si>
    <t>Rakennesuunnittelu</t>
  </si>
  <si>
    <t>LVI-suunnittelu</t>
  </si>
  <si>
    <t>Valvontaviranomaisten maksut (esim. rakennuslupa)</t>
  </si>
  <si>
    <t>RAKENNUSOSAT</t>
  </si>
  <si>
    <t>Vuokraoikeuden kirjaus</t>
  </si>
  <si>
    <t>Talkootarjoilu kustannukset</t>
  </si>
  <si>
    <t>TYÖMAAN KÄYTTÖKUSTANNUKSET</t>
  </si>
  <si>
    <t>Työmaa-aikainen energia</t>
  </si>
  <si>
    <t>Telineet</t>
  </si>
  <si>
    <t>Työmaan vastaava työnjohtaja</t>
  </si>
  <si>
    <t>Työmaa-aikainen sosiaalitila ja työmaatoimisto</t>
  </si>
  <si>
    <t>TEKNIIKKAOSAT</t>
  </si>
  <si>
    <t>Lämpö-, vesi-, ilmanvaihto- ja sähköosat</t>
  </si>
  <si>
    <t>Vesijohdot (jos ei ole urakassa)</t>
  </si>
  <si>
    <t>Vesikalusteet (jos ei ole urakassa)</t>
  </si>
  <si>
    <t>Sähköurakka</t>
  </si>
  <si>
    <t>Kaapelit</t>
  </si>
  <si>
    <t>Tietoliikennekaapelit ja laitekaapit</t>
  </si>
  <si>
    <t>Ilmalämpöpumppu asennettuna</t>
  </si>
  <si>
    <t>Aurinkolämmitysjärjestelmä asennettuna</t>
  </si>
  <si>
    <t>Aurinkopaneelit asennettuna</t>
  </si>
  <si>
    <t>Ilma-vesi lämpöpumppu asennettuna</t>
  </si>
  <si>
    <t>TILAVARUSTEET</t>
  </si>
  <si>
    <t>Liedet</t>
  </si>
  <si>
    <t>Jääkaapit</t>
  </si>
  <si>
    <t>Pakastimet</t>
  </si>
  <si>
    <t>Varusteet (naulakot, verholaudat/kiskot)</t>
  </si>
  <si>
    <t>Uunit</t>
  </si>
  <si>
    <t>MUUT TILAOSAT</t>
  </si>
  <si>
    <t>Hormielementit</t>
  </si>
  <si>
    <t>Kylmähuone-elementit</t>
  </si>
  <si>
    <t>Kiintokalusteiden purkaminen</t>
  </si>
  <si>
    <t>Lämmitysputkisto-, vesijohto ja viemäriurakka</t>
  </si>
  <si>
    <t>TALO-OSAT</t>
  </si>
  <si>
    <t>Kustannusarvio | Vastikkeeton työ | Rahoitussuunnitelma | Rakennusselostus</t>
  </si>
  <si>
    <t>Piha-alueet</t>
  </si>
  <si>
    <t>Tontin raivaus</t>
  </si>
  <si>
    <t>Tontin maankaivutyöt</t>
  </si>
  <si>
    <t>Maa-aineksen kuljetus</t>
  </si>
  <si>
    <t>Täyttömateriaalin kuljetus</t>
  </si>
  <si>
    <t>Viheralueiden rakentaminen</t>
  </si>
  <si>
    <t>Pihateiden pohjarakenteet</t>
  </si>
  <si>
    <t>Pihateiden pintarakenteet</t>
  </si>
  <si>
    <t>Paikoitusalueen rakentaminen</t>
  </si>
  <si>
    <t>Aidat</t>
  </si>
  <si>
    <t>Piha-alueen valaisimet</t>
  </si>
  <si>
    <t>Postilaatikot</t>
  </si>
  <si>
    <t>Pihavarastot</t>
  </si>
  <si>
    <t>Terassit</t>
  </si>
  <si>
    <t>Muurit</t>
  </si>
  <si>
    <t>Portaat ja kaiteet</t>
  </si>
  <si>
    <t>Katokset</t>
  </si>
  <si>
    <t>Perusmuurin / sokkelin korjaus</t>
  </si>
  <si>
    <t>Sisäportaiden purkaminen</t>
  </si>
  <si>
    <t>Lähiosoite:</t>
  </si>
  <si>
    <t>Postinro / -toimipaikka:</t>
  </si>
  <si>
    <t xml:space="preserve">Ammatti / koulutus: </t>
  </si>
  <si>
    <t>Päiväys:</t>
  </si>
  <si>
    <t xml:space="preserve">Kustannusarvio | Rahoitussuunnitelma </t>
  </si>
  <si>
    <t>RAKENNUSHANKKEEN YLEISTIEDOT</t>
  </si>
  <si>
    <t xml:space="preserve">Postinumero ja -toimipaikka: </t>
  </si>
  <si>
    <t xml:space="preserve">Rakennuksen käytötarkoitus: </t>
  </si>
  <si>
    <t xml:space="preserve">Rakennuspaikan osoite: </t>
  </si>
  <si>
    <t xml:space="preserve">Rakennuksen päämitat: </t>
  </si>
  <si>
    <t xml:space="preserve">Kerrosala: </t>
  </si>
  <si>
    <t>Sisäseinäverhouksen purkaminen</t>
  </si>
  <si>
    <t>Sisäseinäverhouksen uusiminen</t>
  </si>
  <si>
    <t xml:space="preserve">Tuntityö € / h </t>
  </si>
  <si>
    <t>Vastikkeeton työ yhteensä</t>
  </si>
  <si>
    <t>tuntia</t>
  </si>
  <si>
    <t>euroa</t>
  </si>
  <si>
    <t>m</t>
  </si>
  <si>
    <t>Materiaali Yhteensä €</t>
  </si>
  <si>
    <t>Työ ja materiaali Yhteensä €</t>
  </si>
  <si>
    <t>Materiaalit €</t>
  </si>
  <si>
    <t>Kyllä</t>
  </si>
  <si>
    <t>Ei</t>
  </si>
  <si>
    <t xml:space="preserve">Tositteelliset € </t>
  </si>
  <si>
    <t xml:space="preserve">Vastikkeeton työ € </t>
  </si>
  <si>
    <t>Ajan-kohta (kk/vv)</t>
  </si>
  <si>
    <t>Asbestikartoitus</t>
  </si>
  <si>
    <t>Asbestipurkutyö</t>
  </si>
  <si>
    <t>Sähkö- ja automaatiosuunnittelu</t>
  </si>
  <si>
    <t>Henkilötyö tunnit h (talkootyö)</t>
  </si>
  <si>
    <t>Henkilötyö tunnit h (talkoo)</t>
  </si>
  <si>
    <t>Räystäsrakenteiden korjaaminen</t>
  </si>
  <si>
    <t>Valaisimet</t>
  </si>
  <si>
    <t xml:space="preserve">Kokonaiskustannukset € </t>
  </si>
  <si>
    <t xml:space="preserve">MYÖNNETTÄVÄ TUKI </t>
  </si>
  <si>
    <t xml:space="preserve">MUU JULKINEN TUKI </t>
  </si>
  <si>
    <t xml:space="preserve"> Yksityinen raha</t>
  </si>
  <si>
    <t xml:space="preserve"> Josta vastikkeetonta työtä</t>
  </si>
  <si>
    <t xml:space="preserve"> Omaa rahaa</t>
  </si>
  <si>
    <t>Julkinen tuki yhteensä</t>
  </si>
  <si>
    <t xml:space="preserve">Yksityinen rahoitus yhteensä </t>
  </si>
  <si>
    <t>Hankkeen tulot (lisätään)</t>
  </si>
  <si>
    <t>TAULUKON RAKENNE</t>
  </si>
  <si>
    <t xml:space="preserve">Korjausrakentamisen investointihankkeen  yleistiedot </t>
  </si>
  <si>
    <t xml:space="preserve">Materiaalit € </t>
  </si>
  <si>
    <r>
      <rPr>
        <b/>
        <sz val="20"/>
        <color theme="0"/>
        <rFont val="Calibri"/>
        <family val="2"/>
        <scheme val="minor"/>
      </rPr>
      <t>OHJE Excel</t>
    </r>
    <r>
      <rPr>
        <sz val="20"/>
        <color theme="0"/>
        <rFont val="Calibri"/>
        <family val="2"/>
        <scheme val="minor"/>
      </rPr>
      <t xml:space="preserve"> työkirjan ominaisuuksiin</t>
    </r>
  </si>
  <si>
    <r>
      <t>Voit pienentää tai suurentaa taulukkoa</t>
    </r>
    <r>
      <rPr>
        <b/>
        <sz val="12"/>
        <color rgb="FFFF0000"/>
        <rFont val="Calibri"/>
        <family val="2"/>
        <scheme val="minor"/>
      </rPr>
      <t xml:space="preserve"> Ctrl + hiiren rullaa pyörittämällä</t>
    </r>
    <r>
      <rPr>
        <b/>
        <sz val="12"/>
        <rFont val="Calibri"/>
        <family val="2"/>
        <scheme val="minor"/>
      </rPr>
      <t xml:space="preserve">. </t>
    </r>
    <r>
      <rPr>
        <sz val="12"/>
        <rFont val="Calibri"/>
        <family val="2"/>
        <scheme val="minor"/>
      </rPr>
      <t>Tai valitsemalla valintanauhalta</t>
    </r>
    <r>
      <rPr>
        <b/>
        <sz val="12"/>
        <rFont val="Calibri"/>
        <family val="2"/>
        <scheme val="minor"/>
      </rPr>
      <t xml:space="preserve"> Näytä -&gt; Zoomaus</t>
    </r>
  </si>
  <si>
    <r>
      <rPr>
        <b/>
        <sz val="20"/>
        <color theme="0"/>
        <rFont val="Calibri"/>
        <family val="2"/>
        <scheme val="minor"/>
      </rPr>
      <t>OHJE</t>
    </r>
    <r>
      <rPr>
        <sz val="20"/>
        <color theme="0"/>
        <rFont val="Calibri"/>
        <family val="2"/>
        <scheme val="minor"/>
      </rPr>
      <t xml:space="preserve"> taulukon täyttämisestä</t>
    </r>
  </si>
  <si>
    <t>Koontilomakkeet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</si>
</sst>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vertAlign val="superscript"/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24"/>
      <color rgb="FFFF0000"/>
      <name val="Calibri"/>
      <family val="2"/>
      <scheme val="minor"/>
    </font>
    <font>
      <sz val="6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theme="1"/>
      <name val="Inter"/>
    </font>
    <font>
      <sz val="14"/>
      <color theme="1"/>
      <name val="Inter"/>
    </font>
    <font>
      <b/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8"/>
      <color theme="3"/>
      <name val="Calibri"/>
      <family val="2"/>
      <scheme val="minor"/>
    </font>
    <font>
      <sz val="8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2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6"/>
      <color theme="0"/>
      <name val="Calibri"/>
      <family val="2"/>
      <scheme val="minor"/>
    </font>
    <font>
      <sz val="9"/>
      <color theme="1"/>
      <name val="Inter"/>
    </font>
    <font>
      <b/>
      <sz val="11"/>
      <color theme="1"/>
      <name val="Inter"/>
    </font>
    <font>
      <sz val="20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4DCB1"/>
        <bgColor indexed="64"/>
      </patternFill>
    </fill>
    <fill>
      <patternFill patternType="solid">
        <fgColor rgb="FFEFCF92"/>
        <bgColor indexed="64"/>
      </patternFill>
    </fill>
    <fill>
      <patternFill patternType="solid">
        <fgColor rgb="FFFAF8A4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/>
      <right style="medium">
        <color rgb="FFFF0000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33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340">
    <xf numFmtId="0" fontId="0" fillId="0" borderId="0" xfId="0"/>
    <xf numFmtId="0" fontId="0" fillId="2" borderId="0" xfId="0" applyFill="1"/>
    <xf numFmtId="0" fontId="0" fillId="0" borderId="1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8" xfId="0" applyBorder="1" applyAlignment="1">
      <alignment wrapText="1"/>
    </xf>
    <xf numFmtId="0" fontId="3" fillId="2" borderId="0" xfId="0" applyFont="1" applyFill="1"/>
    <xf numFmtId="0" fontId="0" fillId="5" borderId="3" xfId="0" applyFill="1" applyBorder="1"/>
    <xf numFmtId="0" fontId="0" fillId="5" borderId="2" xfId="0" applyFill="1" applyBorder="1"/>
    <xf numFmtId="0" fontId="0" fillId="5" borderId="0" xfId="0" applyFill="1"/>
    <xf numFmtId="0" fontId="0" fillId="5" borderId="0" xfId="0" applyFill="1" applyAlignment="1">
      <alignment vertical="center" wrapText="1"/>
    </xf>
    <xf numFmtId="0" fontId="12" fillId="5" borderId="0" xfId="0" applyFont="1" applyFill="1" applyAlignment="1">
      <alignment vertical="center"/>
    </xf>
    <xf numFmtId="0" fontId="6" fillId="0" borderId="7" xfId="0" applyFont="1" applyBorder="1" applyAlignment="1" applyProtection="1">
      <alignment wrapText="1"/>
      <protection locked="0"/>
    </xf>
    <xf numFmtId="0" fontId="0" fillId="0" borderId="12" xfId="0" applyBorder="1"/>
    <xf numFmtId="2" fontId="4" fillId="3" borderId="1" xfId="0" applyNumberFormat="1" applyFont="1" applyFill="1" applyBorder="1"/>
    <xf numFmtId="0" fontId="4" fillId="2" borderId="0" xfId="0" applyFont="1" applyFill="1" applyAlignment="1">
      <alignment vertical="center"/>
    </xf>
    <xf numFmtId="2" fontId="4" fillId="7" borderId="3" xfId="0" applyNumberFormat="1" applyFont="1" applyFill="1" applyBorder="1"/>
    <xf numFmtId="2" fontId="4" fillId="8" borderId="3" xfId="0" applyNumberFormat="1" applyFont="1" applyFill="1" applyBorder="1"/>
    <xf numFmtId="2" fontId="4" fillId="6" borderId="1" xfId="0" applyNumberFormat="1" applyFont="1" applyFill="1" applyBorder="1"/>
    <xf numFmtId="0" fontId="4" fillId="2" borderId="0" xfId="0" applyFont="1" applyFill="1"/>
    <xf numFmtId="0" fontId="4" fillId="5" borderId="0" xfId="0" applyFont="1" applyFill="1"/>
    <xf numFmtId="0" fontId="4" fillId="2" borderId="0" xfId="0" applyFont="1" applyFill="1" applyAlignment="1">
      <alignment wrapText="1"/>
    </xf>
    <xf numFmtId="0" fontId="4" fillId="0" borderId="0" xfId="0" applyFont="1"/>
    <xf numFmtId="0" fontId="7" fillId="4" borderId="5" xfId="0" applyFont="1" applyFill="1" applyBorder="1" applyAlignment="1">
      <alignment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0" fillId="5" borderId="15" xfId="0" applyFill="1" applyBorder="1"/>
    <xf numFmtId="0" fontId="0" fillId="5" borderId="7" xfId="0" applyFill="1" applyBorder="1"/>
    <xf numFmtId="0" fontId="0" fillId="5" borderId="12" xfId="0" applyFill="1" applyBorder="1"/>
    <xf numFmtId="0" fontId="0" fillId="5" borderId="15" xfId="0" applyFill="1" applyBorder="1" applyAlignment="1">
      <alignment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18" fillId="2" borderId="0" xfId="0" applyFont="1" applyFill="1"/>
    <xf numFmtId="0" fontId="0" fillId="0" borderId="16" xfId="0" applyBorder="1"/>
    <xf numFmtId="2" fontId="7" fillId="2" borderId="1" xfId="0" applyNumberFormat="1" applyFont="1" applyFill="1" applyBorder="1" applyProtection="1">
      <protection locked="0"/>
    </xf>
    <xf numFmtId="0" fontId="3" fillId="0" borderId="0" xfId="0" applyFont="1"/>
    <xf numFmtId="0" fontId="0" fillId="0" borderId="9" xfId="0" applyBorder="1"/>
    <xf numFmtId="0" fontId="0" fillId="0" borderId="10" xfId="0" applyBorder="1"/>
    <xf numFmtId="0" fontId="21" fillId="12" borderId="2" xfId="0" applyFont="1" applyFill="1" applyBorder="1" applyAlignment="1">
      <alignment vertical="center"/>
    </xf>
    <xf numFmtId="0" fontId="21" fillId="12" borderId="1" xfId="0" applyFont="1" applyFill="1" applyBorder="1" applyAlignment="1">
      <alignment vertical="center"/>
    </xf>
    <xf numFmtId="0" fontId="2" fillId="5" borderId="0" xfId="0" applyFont="1" applyFill="1" applyAlignment="1">
      <alignment horizontal="left"/>
    </xf>
    <xf numFmtId="0" fontId="7" fillId="5" borderId="0" xfId="0" applyFont="1" applyFill="1" applyAlignment="1">
      <alignment vertical="center"/>
    </xf>
    <xf numFmtId="0" fontId="2" fillId="5" borderId="0" xfId="0" applyFont="1" applyFill="1" applyAlignment="1">
      <alignment horizontal="left" vertical="center"/>
    </xf>
    <xf numFmtId="0" fontId="17" fillId="12" borderId="2" xfId="0" applyFont="1" applyFill="1" applyBorder="1" applyAlignment="1">
      <alignment vertical="center"/>
    </xf>
    <xf numFmtId="0" fontId="15" fillId="12" borderId="9" xfId="0" applyFont="1" applyFill="1" applyBorder="1" applyAlignment="1">
      <alignment horizontal="left" wrapText="1"/>
    </xf>
    <xf numFmtId="0" fontId="4" fillId="12" borderId="15" xfId="0" applyFont="1" applyFill="1" applyBorder="1" applyAlignment="1">
      <alignment horizontal="center" vertical="center" wrapText="1"/>
    </xf>
    <xf numFmtId="0" fontId="4" fillId="12" borderId="3" xfId="0" applyFont="1" applyFill="1" applyBorder="1" applyAlignment="1">
      <alignment horizontal="center" vertical="center" wrapText="1"/>
    </xf>
    <xf numFmtId="49" fontId="0" fillId="12" borderId="1" xfId="0" applyNumberFormat="1" applyFill="1" applyBorder="1" applyAlignment="1">
      <alignment horizontal="center" vertical="center" wrapText="1"/>
    </xf>
    <xf numFmtId="0" fontId="0" fillId="2" borderId="4" xfId="0" applyFill="1" applyBorder="1" applyAlignment="1">
      <alignment wrapText="1"/>
    </xf>
    <xf numFmtId="0" fontId="7" fillId="2" borderId="1" xfId="0" applyFont="1" applyFill="1" applyBorder="1" applyAlignment="1">
      <alignment horizontal="center" vertical="center" wrapText="1"/>
    </xf>
    <xf numFmtId="0" fontId="15" fillId="12" borderId="15" xfId="0" applyFont="1" applyFill="1" applyBorder="1" applyAlignment="1">
      <alignment horizontal="left" wrapText="1"/>
    </xf>
    <xf numFmtId="0" fontId="0" fillId="0" borderId="12" xfId="0" applyBorder="1" applyAlignment="1">
      <alignment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3" fillId="2" borderId="1" xfId="0" applyFont="1" applyFill="1" applyBorder="1" applyAlignment="1">
      <alignment horizontal="left" vertical="center" wrapText="1"/>
    </xf>
    <xf numFmtId="0" fontId="2" fillId="11" borderId="15" xfId="0" applyFont="1" applyFill="1" applyBorder="1" applyAlignment="1">
      <alignment vertical="center"/>
    </xf>
    <xf numFmtId="0" fontId="5" fillId="11" borderId="15" xfId="0" applyFont="1" applyFill="1" applyBorder="1" applyAlignment="1">
      <alignment vertical="center"/>
    </xf>
    <xf numFmtId="0" fontId="5" fillId="11" borderId="3" xfId="0" applyFont="1" applyFill="1" applyBorder="1" applyAlignment="1">
      <alignment vertical="center"/>
    </xf>
    <xf numFmtId="0" fontId="0" fillId="2" borderId="8" xfId="0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4" fillId="5" borderId="0" xfId="0" applyFont="1" applyFill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27" fillId="13" borderId="16" xfId="0" applyFont="1" applyFill="1" applyBorder="1" applyAlignment="1">
      <alignment horizontal="center" vertical="center" wrapText="1"/>
    </xf>
    <xf numFmtId="0" fontId="28" fillId="13" borderId="5" xfId="0" applyFont="1" applyFill="1" applyBorder="1" applyAlignment="1">
      <alignment horizontal="left" vertical="center"/>
    </xf>
    <xf numFmtId="0" fontId="15" fillId="5" borderId="0" xfId="0" applyFont="1" applyFill="1" applyAlignment="1">
      <alignment horizontal="right" vertical="center" wrapText="1"/>
    </xf>
    <xf numFmtId="0" fontId="4" fillId="5" borderId="0" xfId="0" applyFont="1" applyFill="1" applyAlignment="1">
      <alignment horizontal="left" vertical="center" wrapText="1"/>
    </xf>
    <xf numFmtId="0" fontId="29" fillId="0" borderId="0" xfId="0" applyFont="1"/>
    <xf numFmtId="0" fontId="31" fillId="0" borderId="0" xfId="0" applyFont="1"/>
    <xf numFmtId="0" fontId="0" fillId="0" borderId="18" xfId="0" applyBorder="1"/>
    <xf numFmtId="0" fontId="32" fillId="0" borderId="0" xfId="0" applyFont="1"/>
    <xf numFmtId="0" fontId="11" fillId="0" borderId="0" xfId="0" applyFont="1" applyAlignment="1">
      <alignment vertical="center"/>
    </xf>
    <xf numFmtId="0" fontId="34" fillId="0" borderId="0" xfId="2" applyFont="1" applyBorder="1" applyAlignment="1"/>
    <xf numFmtId="0" fontId="33" fillId="0" borderId="0" xfId="2" applyBorder="1" applyAlignment="1"/>
    <xf numFmtId="0" fontId="11" fillId="0" borderId="0" xfId="0" applyFont="1" applyAlignment="1">
      <alignment horizontal="left" vertical="center"/>
    </xf>
    <xf numFmtId="0" fontId="35" fillId="0" borderId="0" xfId="0" applyFont="1"/>
    <xf numFmtId="0" fontId="35" fillId="0" borderId="0" xfId="0" applyFont="1" applyAlignment="1">
      <alignment horizontal="left" vertical="center" wrapText="1"/>
    </xf>
    <xf numFmtId="0" fontId="0" fillId="0" borderId="6" xfId="0" applyBorder="1"/>
    <xf numFmtId="0" fontId="0" fillId="2" borderId="9" xfId="0" applyFill="1" applyBorder="1"/>
    <xf numFmtId="0" fontId="35" fillId="0" borderId="9" xfId="0" applyFont="1" applyBorder="1"/>
    <xf numFmtId="0" fontId="35" fillId="0" borderId="9" xfId="0" applyFont="1" applyBorder="1" applyAlignment="1">
      <alignment vertical="center" wrapText="1"/>
    </xf>
    <xf numFmtId="0" fontId="35" fillId="0" borderId="0" xfId="0" applyFont="1" applyAlignment="1">
      <alignment vertical="center" wrapText="1"/>
    </xf>
    <xf numFmtId="0" fontId="2" fillId="2" borderId="0" xfId="0" applyFont="1" applyFill="1"/>
    <xf numFmtId="0" fontId="7" fillId="5" borderId="6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0" fillId="12" borderId="15" xfId="0" applyFill="1" applyBorder="1" applyAlignment="1">
      <alignment wrapText="1"/>
    </xf>
    <xf numFmtId="0" fontId="0" fillId="12" borderId="15" xfId="0" applyFill="1" applyBorder="1"/>
    <xf numFmtId="0" fontId="0" fillId="0" borderId="0" xfId="0" applyAlignment="1">
      <alignment wrapText="1"/>
    </xf>
    <xf numFmtId="0" fontId="6" fillId="2" borderId="1" xfId="0" applyFont="1" applyFill="1" applyBorder="1" applyAlignment="1">
      <alignment wrapText="1"/>
    </xf>
    <xf numFmtId="0" fontId="36" fillId="0" borderId="0" xfId="0" applyFont="1" applyAlignment="1">
      <alignment horizontal="center" vertical="center"/>
    </xf>
    <xf numFmtId="2" fontId="4" fillId="2" borderId="1" xfId="0" applyNumberFormat="1" applyFont="1" applyFill="1" applyBorder="1" applyProtection="1">
      <protection locked="0"/>
    </xf>
    <xf numFmtId="0" fontId="0" fillId="5" borderId="0" xfId="0" applyFill="1" applyAlignment="1">
      <alignment wrapText="1"/>
    </xf>
    <xf numFmtId="0" fontId="17" fillId="0" borderId="0" xfId="0" applyFont="1" applyAlignment="1">
      <alignment horizontal="right" vertical="center"/>
    </xf>
    <xf numFmtId="0" fontId="4" fillId="0" borderId="12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wrapText="1"/>
    </xf>
    <xf numFmtId="0" fontId="25" fillId="0" borderId="12" xfId="0" applyFont="1" applyBorder="1" applyAlignment="1">
      <alignment vertical="center"/>
    </xf>
    <xf numFmtId="0" fontId="19" fillId="0" borderId="28" xfId="0" applyFont="1" applyBorder="1" applyAlignment="1">
      <alignment vertical="center"/>
    </xf>
    <xf numFmtId="0" fontId="19" fillId="2" borderId="0" xfId="0" applyFont="1" applyFill="1" applyAlignment="1">
      <alignment vertical="center"/>
    </xf>
    <xf numFmtId="0" fontId="2" fillId="0" borderId="12" xfId="0" applyFont="1" applyBorder="1" applyAlignment="1">
      <alignment vertical="center"/>
    </xf>
    <xf numFmtId="0" fontId="15" fillId="0" borderId="29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0" fillId="2" borderId="16" xfId="0" applyFill="1" applyBorder="1"/>
    <xf numFmtId="0" fontId="22" fillId="13" borderId="1" xfId="0" applyFont="1" applyFill="1" applyBorder="1" applyAlignment="1">
      <alignment horizontal="left" vertical="center"/>
    </xf>
    <xf numFmtId="0" fontId="7" fillId="2" borderId="22" xfId="0" applyFont="1" applyFill="1" applyBorder="1" applyAlignment="1">
      <alignment horizontal="center" vertical="center" wrapText="1"/>
    </xf>
    <xf numFmtId="0" fontId="7" fillId="9" borderId="5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0" fillId="2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4" fillId="12" borderId="24" xfId="0" applyFont="1" applyFill="1" applyBorder="1" applyAlignment="1">
      <alignment horizontal="center" vertical="center" wrapText="1"/>
    </xf>
    <xf numFmtId="0" fontId="4" fillId="12" borderId="25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vertical="center" wrapText="1"/>
    </xf>
    <xf numFmtId="0" fontId="7" fillId="0" borderId="0" xfId="0" applyFont="1" applyAlignment="1">
      <alignment vertical="center" wrapText="1"/>
    </xf>
    <xf numFmtId="0" fontId="37" fillId="0" borderId="0" xfId="0" applyFont="1"/>
    <xf numFmtId="0" fontId="0" fillId="2" borderId="0" xfId="0" applyFill="1" applyAlignment="1">
      <alignment horizontal="center" vertical="center"/>
    </xf>
    <xf numFmtId="9" fontId="0" fillId="2" borderId="11" xfId="1" applyFont="1" applyFill="1" applyBorder="1" applyProtection="1"/>
    <xf numFmtId="2" fontId="7" fillId="2" borderId="1" xfId="0" applyNumberFormat="1" applyFont="1" applyFill="1" applyBorder="1"/>
    <xf numFmtId="2" fontId="7" fillId="3" borderId="1" xfId="0" applyNumberFormat="1" applyFont="1" applyFill="1" applyBorder="1"/>
    <xf numFmtId="2" fontId="7" fillId="6" borderId="1" xfId="0" applyNumberFormat="1" applyFont="1" applyFill="1" applyBorder="1"/>
    <xf numFmtId="2" fontId="4" fillId="6" borderId="4" xfId="0" applyNumberFormat="1" applyFont="1" applyFill="1" applyBorder="1"/>
    <xf numFmtId="2" fontId="4" fillId="0" borderId="0" xfId="0" applyNumberFormat="1" applyFont="1" applyAlignment="1">
      <alignment horizontal="center"/>
    </xf>
    <xf numFmtId="1" fontId="4" fillId="0" borderId="4" xfId="0" applyNumberFormat="1" applyFont="1" applyBorder="1"/>
    <xf numFmtId="2" fontId="4" fillId="2" borderId="0" xfId="0" applyNumberFormat="1" applyFont="1" applyFill="1"/>
    <xf numFmtId="2" fontId="4" fillId="7" borderId="1" xfId="0" applyNumberFormat="1" applyFont="1" applyFill="1" applyBorder="1"/>
    <xf numFmtId="0" fontId="7" fillId="2" borderId="0" xfId="0" applyFont="1" applyFill="1" applyAlignment="1">
      <alignment horizontal="right"/>
    </xf>
    <xf numFmtId="0" fontId="7" fillId="2" borderId="0" xfId="0" applyFont="1" applyFill="1" applyAlignment="1">
      <alignment horizontal="center"/>
    </xf>
    <xf numFmtId="0" fontId="4" fillId="5" borderId="0" xfId="0" applyFont="1" applyFill="1" applyAlignment="1">
      <alignment horizontal="right"/>
    </xf>
    <xf numFmtId="0" fontId="15" fillId="0" borderId="27" xfId="0" applyFont="1" applyBorder="1" applyAlignment="1">
      <alignment vertical="center"/>
    </xf>
    <xf numFmtId="0" fontId="4" fillId="5" borderId="0" xfId="0" applyFont="1" applyFill="1" applyAlignment="1">
      <alignment horizontal="right" vertical="center"/>
    </xf>
    <xf numFmtId="0" fontId="4" fillId="5" borderId="0" xfId="0" applyFont="1" applyFill="1" applyAlignment="1">
      <alignment horizontal="right" vertical="center" wrapText="1"/>
    </xf>
    <xf numFmtId="0" fontId="4" fillId="5" borderId="30" xfId="0" applyFont="1" applyFill="1" applyBorder="1" applyAlignment="1" applyProtection="1">
      <alignment horizontal="center" vertical="center"/>
      <protection locked="0"/>
    </xf>
    <xf numFmtId="0" fontId="7" fillId="10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right"/>
    </xf>
    <xf numFmtId="0" fontId="25" fillId="0" borderId="0" xfId="0" applyFont="1" applyAlignment="1" applyProtection="1">
      <alignment horizontal="left" vertical="top"/>
      <protection locked="0"/>
    </xf>
    <xf numFmtId="0" fontId="2" fillId="0" borderId="0" xfId="0" applyFont="1" applyAlignment="1">
      <alignment horizontal="left" vertical="center"/>
    </xf>
    <xf numFmtId="0" fontId="4" fillId="2" borderId="3" xfId="0" applyFont="1" applyFill="1" applyBorder="1"/>
    <xf numFmtId="0" fontId="36" fillId="2" borderId="0" xfId="0" applyFont="1" applyFill="1" applyAlignment="1">
      <alignment horizontal="right"/>
    </xf>
    <xf numFmtId="0" fontId="18" fillId="0" borderId="0" xfId="0" applyFont="1"/>
    <xf numFmtId="0" fontId="38" fillId="5" borderId="26" xfId="0" applyFon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2" fillId="0" borderId="0" xfId="0" applyFont="1"/>
    <xf numFmtId="0" fontId="4" fillId="12" borderId="17" xfId="0" applyFont="1" applyFill="1" applyBorder="1" applyAlignment="1">
      <alignment horizontal="left" vertical="top" wrapText="1"/>
    </xf>
    <xf numFmtId="0" fontId="0" fillId="5" borderId="2" xfId="0" applyFill="1" applyBorder="1" applyAlignment="1">
      <alignment horizontal="left" vertical="top" wrapText="1"/>
    </xf>
    <xf numFmtId="0" fontId="0" fillId="0" borderId="1" xfId="0" applyBorder="1" applyAlignment="1" applyProtection="1">
      <alignment horizontal="left" vertical="top" wrapText="1"/>
      <protection locked="0"/>
    </xf>
    <xf numFmtId="0" fontId="4" fillId="2" borderId="0" xfId="0" applyFont="1" applyFill="1" applyAlignment="1">
      <alignment vertical="top"/>
    </xf>
    <xf numFmtId="0" fontId="4" fillId="12" borderId="17" xfId="0" applyFont="1" applyFill="1" applyBorder="1" applyAlignment="1">
      <alignment horizontal="center" vertical="top" wrapText="1"/>
    </xf>
    <xf numFmtId="0" fontId="4" fillId="12" borderId="3" xfId="0" applyFont="1" applyFill="1" applyBorder="1" applyAlignment="1">
      <alignment horizontal="center" vertical="top" wrapText="1"/>
    </xf>
    <xf numFmtId="0" fontId="0" fillId="12" borderId="24" xfId="0" applyFill="1" applyBorder="1" applyAlignment="1">
      <alignment horizontal="center" vertical="top" wrapText="1"/>
    </xf>
    <xf numFmtId="0" fontId="0" fillId="12" borderId="15" xfId="0" applyFill="1" applyBorder="1" applyAlignment="1">
      <alignment horizontal="center" vertical="top" wrapText="1"/>
    </xf>
    <xf numFmtId="0" fontId="4" fillId="12" borderId="15" xfId="0" applyFont="1" applyFill="1" applyBorder="1" applyAlignment="1">
      <alignment horizontal="center" vertical="top" wrapText="1"/>
    </xf>
    <xf numFmtId="0" fontId="4" fillId="12" borderId="25" xfId="0" applyFont="1" applyFill="1" applyBorder="1" applyAlignment="1">
      <alignment horizontal="left" vertical="top" wrapText="1"/>
    </xf>
    <xf numFmtId="0" fontId="0" fillId="5" borderId="15" xfId="0" applyFill="1" applyBorder="1" applyAlignment="1">
      <alignment vertical="top" wrapText="1"/>
    </xf>
    <xf numFmtId="0" fontId="0" fillId="5" borderId="3" xfId="0" applyFill="1" applyBorder="1" applyAlignment="1">
      <alignment vertical="top"/>
    </xf>
    <xf numFmtId="0" fontId="0" fillId="5" borderId="15" xfId="0" applyFill="1" applyBorder="1" applyAlignment="1">
      <alignment vertical="top"/>
    </xf>
    <xf numFmtId="0" fontId="0" fillId="2" borderId="0" xfId="0" applyFill="1" applyAlignment="1">
      <alignment vertical="top"/>
    </xf>
    <xf numFmtId="0" fontId="0" fillId="5" borderId="24" xfId="0" applyFill="1" applyBorder="1" applyAlignment="1">
      <alignment vertical="top"/>
    </xf>
    <xf numFmtId="49" fontId="0" fillId="12" borderId="1" xfId="0" applyNumberFormat="1" applyFill="1" applyBorder="1" applyAlignment="1">
      <alignment horizontal="left" vertical="top" wrapText="1"/>
    </xf>
    <xf numFmtId="0" fontId="0" fillId="5" borderId="1" xfId="0" applyFill="1" applyBorder="1" applyAlignment="1">
      <alignment horizontal="left" vertical="top" wrapText="1"/>
    </xf>
    <xf numFmtId="0" fontId="0" fillId="5" borderId="1" xfId="0" applyFill="1" applyBorder="1" applyAlignment="1">
      <alignment vertical="top" wrapText="1"/>
    </xf>
    <xf numFmtId="0" fontId="38" fillId="5" borderId="26" xfId="0" applyFont="1" applyFill="1" applyBorder="1" applyAlignment="1">
      <alignment horizontal="center" vertical="center"/>
    </xf>
    <xf numFmtId="0" fontId="7" fillId="0" borderId="0" xfId="0" applyFont="1"/>
    <xf numFmtId="0" fontId="17" fillId="0" borderId="0" xfId="0" applyFont="1" applyAlignment="1">
      <alignment vertical="center"/>
    </xf>
    <xf numFmtId="0" fontId="19" fillId="0" borderId="14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5" borderId="0" xfId="0" applyFont="1" applyFill="1" applyAlignment="1">
      <alignment vertical="center"/>
    </xf>
    <xf numFmtId="0" fontId="17" fillId="5" borderId="0" xfId="0" applyFont="1" applyFill="1" applyAlignment="1">
      <alignment horizontal="left" vertical="center"/>
    </xf>
    <xf numFmtId="2" fontId="4" fillId="2" borderId="1" xfId="0" applyNumberFormat="1" applyFont="1" applyFill="1" applyBorder="1"/>
    <xf numFmtId="0" fontId="0" fillId="2" borderId="32" xfId="0" applyFill="1" applyBorder="1"/>
    <xf numFmtId="0" fontId="7" fillId="2" borderId="33" xfId="0" applyFont="1" applyFill="1" applyBorder="1" applyAlignment="1" applyProtection="1">
      <alignment horizontal="left" vertical="top" wrapText="1"/>
      <protection locked="0"/>
    </xf>
    <xf numFmtId="0" fontId="0" fillId="2" borderId="32" xfId="0" applyFill="1" applyBorder="1" applyAlignment="1" applyProtection="1">
      <alignment horizontal="center" vertical="top" wrapText="1"/>
      <protection locked="0"/>
    </xf>
    <xf numFmtId="0" fontId="0" fillId="9" borderId="32" xfId="0" applyFill="1" applyBorder="1" applyAlignment="1">
      <alignment vertical="top"/>
    </xf>
    <xf numFmtId="0" fontId="0" fillId="2" borderId="34" xfId="0" applyFill="1" applyBorder="1"/>
    <xf numFmtId="0" fontId="7" fillId="2" borderId="35" xfId="0" applyFont="1" applyFill="1" applyBorder="1" applyAlignment="1" applyProtection="1">
      <alignment horizontal="left" vertical="top" wrapText="1"/>
      <protection locked="0"/>
    </xf>
    <xf numFmtId="0" fontId="0" fillId="2" borderId="34" xfId="0" applyFill="1" applyBorder="1" applyAlignment="1" applyProtection="1">
      <alignment horizontal="center" vertical="top" wrapText="1"/>
      <protection locked="0"/>
    </xf>
    <xf numFmtId="0" fontId="0" fillId="9" borderId="34" xfId="0" applyFill="1" applyBorder="1" applyAlignment="1">
      <alignment vertical="top"/>
    </xf>
    <xf numFmtId="0" fontId="0" fillId="2" borderId="34" xfId="0" applyFill="1" applyBorder="1" applyAlignment="1">
      <alignment wrapText="1"/>
    </xf>
    <xf numFmtId="0" fontId="7" fillId="2" borderId="37" xfId="0" applyFont="1" applyFill="1" applyBorder="1" applyAlignment="1" applyProtection="1">
      <alignment horizontal="left" vertical="top" wrapText="1"/>
      <protection locked="0"/>
    </xf>
    <xf numFmtId="0" fontId="0" fillId="2" borderId="36" xfId="0" applyFill="1" applyBorder="1" applyAlignment="1" applyProtection="1">
      <alignment horizontal="center" vertical="top" wrapText="1"/>
      <protection locked="0"/>
    </xf>
    <xf numFmtId="0" fontId="0" fillId="9" borderId="36" xfId="0" applyFill="1" applyBorder="1" applyAlignment="1">
      <alignment vertical="top"/>
    </xf>
    <xf numFmtId="0" fontId="0" fillId="2" borderId="38" xfId="0" applyFill="1" applyBorder="1" applyAlignment="1" applyProtection="1">
      <alignment horizontal="center" vertical="top" wrapText="1"/>
      <protection locked="0"/>
    </xf>
    <xf numFmtId="0" fontId="0" fillId="0" borderId="39" xfId="0" applyBorder="1" applyAlignment="1" applyProtection="1">
      <alignment horizontal="left" vertical="top" wrapText="1"/>
      <protection locked="0"/>
    </xf>
    <xf numFmtId="0" fontId="0" fillId="2" borderId="40" xfId="0" applyFill="1" applyBorder="1" applyAlignment="1" applyProtection="1">
      <alignment horizontal="center" vertical="top" wrapText="1"/>
      <protection locked="0"/>
    </xf>
    <xf numFmtId="0" fontId="0" fillId="0" borderId="41" xfId="0" applyBorder="1" applyAlignment="1" applyProtection="1">
      <alignment horizontal="left" vertical="top" wrapText="1"/>
      <protection locked="0"/>
    </xf>
    <xf numFmtId="0" fontId="0" fillId="2" borderId="42" xfId="0" applyFill="1" applyBorder="1" applyAlignment="1" applyProtection="1">
      <alignment horizontal="center" vertical="top" wrapText="1"/>
      <protection locked="0"/>
    </xf>
    <xf numFmtId="0" fontId="0" fillId="0" borderId="43" xfId="0" applyBorder="1" applyAlignment="1" applyProtection="1">
      <alignment horizontal="left" vertical="top" wrapText="1"/>
      <protection locked="0"/>
    </xf>
    <xf numFmtId="0" fontId="6" fillId="2" borderId="34" xfId="0" applyFont="1" applyFill="1" applyBorder="1"/>
    <xf numFmtId="0" fontId="0" fillId="2" borderId="32" xfId="0" applyFill="1" applyBorder="1" applyAlignment="1">
      <alignment horizontal="center" vertical="center" wrapText="1"/>
    </xf>
    <xf numFmtId="0" fontId="0" fillId="2" borderId="34" xfId="0" applyFill="1" applyBorder="1" applyAlignment="1">
      <alignment horizontal="center" vertical="center" wrapText="1"/>
    </xf>
    <xf numFmtId="2" fontId="0" fillId="9" borderId="34" xfId="0" applyNumberFormat="1" applyFill="1" applyBorder="1"/>
    <xf numFmtId="0" fontId="0" fillId="2" borderId="36" xfId="0" applyFill="1" applyBorder="1" applyAlignment="1">
      <alignment horizontal="center" vertical="center" wrapText="1"/>
    </xf>
    <xf numFmtId="0" fontId="14" fillId="2" borderId="0" xfId="0" applyFont="1" applyFill="1" applyAlignment="1">
      <alignment vertical="center"/>
    </xf>
    <xf numFmtId="0" fontId="13" fillId="0" borderId="0" xfId="0" applyFont="1"/>
    <xf numFmtId="0" fontId="0" fillId="0" borderId="15" xfId="0" applyBorder="1"/>
    <xf numFmtId="0" fontId="0" fillId="2" borderId="1" xfId="0" applyFill="1" applyBorder="1" applyAlignment="1">
      <alignment horizontal="right"/>
    </xf>
    <xf numFmtId="0" fontId="4" fillId="2" borderId="15" xfId="0" applyFont="1" applyFill="1" applyBorder="1"/>
    <xf numFmtId="2" fontId="7" fillId="7" borderId="3" xfId="0" applyNumberFormat="1" applyFont="1" applyFill="1" applyBorder="1"/>
    <xf numFmtId="0" fontId="4" fillId="2" borderId="2" xfId="0" applyFont="1" applyFill="1" applyBorder="1"/>
    <xf numFmtId="0" fontId="0" fillId="0" borderId="3" xfId="0" applyBorder="1"/>
    <xf numFmtId="9" fontId="0" fillId="2" borderId="1" xfId="1" applyFont="1" applyFill="1" applyBorder="1" applyProtection="1">
      <protection locked="0"/>
    </xf>
    <xf numFmtId="2" fontId="4" fillId="0" borderId="3" xfId="0" applyNumberFormat="1" applyFont="1" applyBorder="1"/>
    <xf numFmtId="2" fontId="4" fillId="0" borderId="1" xfId="0" applyNumberFormat="1" applyFont="1" applyBorder="1"/>
    <xf numFmtId="0" fontId="7" fillId="0" borderId="1" xfId="0" applyFont="1" applyBorder="1"/>
    <xf numFmtId="0" fontId="7" fillId="2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2" fontId="7" fillId="0" borderId="1" xfId="0" applyNumberFormat="1" applyFont="1" applyBorder="1"/>
    <xf numFmtId="0" fontId="0" fillId="9" borderId="44" xfId="0" applyFill="1" applyBorder="1" applyAlignment="1">
      <alignment vertical="top"/>
    </xf>
    <xf numFmtId="9" fontId="7" fillId="2" borderId="0" xfId="0" applyNumberFormat="1" applyFont="1" applyFill="1"/>
    <xf numFmtId="0" fontId="0" fillId="0" borderId="2" xfId="0" applyBorder="1"/>
    <xf numFmtId="0" fontId="0" fillId="0" borderId="1" xfId="0" applyBorder="1" applyAlignment="1">
      <alignment horizontal="left"/>
    </xf>
    <xf numFmtId="2" fontId="0" fillId="9" borderId="44" xfId="0" applyNumberFormat="1" applyFill="1" applyBorder="1"/>
    <xf numFmtId="2" fontId="4" fillId="6" borderId="46" xfId="0" applyNumberFormat="1" applyFont="1" applyFill="1" applyBorder="1"/>
    <xf numFmtId="2" fontId="4" fillId="2" borderId="3" xfId="0" applyNumberFormat="1" applyFont="1" applyFill="1" applyBorder="1"/>
    <xf numFmtId="0" fontId="0" fillId="0" borderId="32" xfId="0" applyBorder="1" applyAlignment="1">
      <alignment wrapText="1"/>
    </xf>
    <xf numFmtId="0" fontId="4" fillId="0" borderId="32" xfId="0" applyFont="1" applyBorder="1" applyAlignment="1">
      <alignment horizontal="center"/>
    </xf>
    <xf numFmtId="0" fontId="7" fillId="0" borderId="32" xfId="0" applyFont="1" applyBorder="1" applyAlignment="1" applyProtection="1">
      <alignment horizontal="left" vertical="top"/>
      <protection locked="0"/>
    </xf>
    <xf numFmtId="0" fontId="0" fillId="0" borderId="34" xfId="0" applyBorder="1" applyAlignment="1">
      <alignment wrapText="1"/>
    </xf>
    <xf numFmtId="0" fontId="0" fillId="9" borderId="34" xfId="0" applyFill="1" applyBorder="1"/>
    <xf numFmtId="0" fontId="4" fillId="0" borderId="34" xfId="0" applyFont="1" applyBorder="1" applyAlignment="1">
      <alignment horizontal="center"/>
    </xf>
    <xf numFmtId="0" fontId="7" fillId="0" borderId="34" xfId="0" applyFont="1" applyBorder="1" applyAlignment="1" applyProtection="1">
      <alignment horizontal="left" vertical="top"/>
      <protection locked="0"/>
    </xf>
    <xf numFmtId="0" fontId="4" fillId="0" borderId="36" xfId="0" applyFont="1" applyBorder="1" applyAlignment="1">
      <alignment horizontal="center"/>
    </xf>
    <xf numFmtId="0" fontId="7" fillId="0" borderId="36" xfId="0" applyFont="1" applyBorder="1" applyAlignment="1" applyProtection="1">
      <alignment horizontal="left" vertical="top"/>
      <protection locked="0"/>
    </xf>
    <xf numFmtId="0" fontId="0" fillId="0" borderId="44" xfId="0" applyBorder="1" applyAlignment="1">
      <alignment wrapText="1"/>
    </xf>
    <xf numFmtId="2" fontId="4" fillId="6" borderId="4" xfId="3" applyNumberFormat="1" applyFont="1" applyFill="1" applyBorder="1" applyProtection="1"/>
    <xf numFmtId="0" fontId="0" fillId="2" borderId="45" xfId="0" applyFill="1" applyBorder="1"/>
    <xf numFmtId="0" fontId="2" fillId="2" borderId="32" xfId="0" applyFont="1" applyFill="1" applyBorder="1" applyAlignment="1">
      <alignment horizontal="left" vertical="center"/>
    </xf>
    <xf numFmtId="0" fontId="0" fillId="2" borderId="32" xfId="0" applyFill="1" applyBorder="1" applyAlignment="1" applyProtection="1">
      <alignment horizontal="left" vertical="center" wrapText="1"/>
      <protection locked="0"/>
    </xf>
    <xf numFmtId="0" fontId="2" fillId="2" borderId="34" xfId="0" applyFont="1" applyFill="1" applyBorder="1" applyAlignment="1">
      <alignment horizontal="left" vertical="center"/>
    </xf>
    <xf numFmtId="0" fontId="0" fillId="2" borderId="34" xfId="0" applyFill="1" applyBorder="1" applyAlignment="1" applyProtection="1">
      <alignment horizontal="left" vertical="center" wrapText="1"/>
      <protection locked="0"/>
    </xf>
    <xf numFmtId="0" fontId="2" fillId="2" borderId="36" xfId="0" applyFont="1" applyFill="1" applyBorder="1" applyAlignment="1">
      <alignment horizontal="left" vertical="center"/>
    </xf>
    <xf numFmtId="14" fontId="0" fillId="2" borderId="36" xfId="0" applyNumberFormat="1" applyFill="1" applyBorder="1" applyAlignment="1" applyProtection="1">
      <alignment horizontal="left" vertical="center" wrapText="1"/>
      <protection locked="0"/>
    </xf>
    <xf numFmtId="0" fontId="0" fillId="2" borderId="36" xfId="0" applyFill="1" applyBorder="1" applyAlignment="1" applyProtection="1">
      <alignment horizontal="left" vertical="center" wrapText="1"/>
      <protection locked="0"/>
    </xf>
    <xf numFmtId="0" fontId="35" fillId="2" borderId="0" xfId="0" applyFont="1" applyFill="1"/>
    <xf numFmtId="0" fontId="4" fillId="2" borderId="0" xfId="0" applyFont="1" applyFill="1" applyAlignment="1">
      <alignment horizontal="right"/>
    </xf>
    <xf numFmtId="0" fontId="0" fillId="2" borderId="0" xfId="0" applyFill="1" applyAlignment="1">
      <alignment horizontal="right"/>
    </xf>
    <xf numFmtId="0" fontId="7" fillId="2" borderId="49" xfId="0" applyFont="1" applyFill="1" applyBorder="1" applyAlignment="1" applyProtection="1">
      <alignment horizontal="left" vertical="top" wrapText="1"/>
      <protection locked="0"/>
    </xf>
    <xf numFmtId="0" fontId="0" fillId="2" borderId="45" xfId="0" applyFill="1" applyBorder="1" applyAlignment="1">
      <alignment horizontal="center" vertical="center" wrapText="1"/>
    </xf>
    <xf numFmtId="0" fontId="7" fillId="2" borderId="50" xfId="0" applyFont="1" applyFill="1" applyBorder="1" applyAlignment="1" applyProtection="1">
      <alignment horizontal="left" vertical="top" wrapText="1"/>
      <protection locked="0"/>
    </xf>
    <xf numFmtId="0" fontId="0" fillId="2" borderId="51" xfId="0" applyFill="1" applyBorder="1" applyAlignment="1">
      <alignment horizontal="center" vertical="center" wrapText="1"/>
    </xf>
    <xf numFmtId="2" fontId="0" fillId="9" borderId="45" xfId="0" applyNumberFormat="1" applyFill="1" applyBorder="1"/>
    <xf numFmtId="2" fontId="0" fillId="12" borderId="3" xfId="0" applyNumberFormat="1" applyFill="1" applyBorder="1"/>
    <xf numFmtId="2" fontId="0" fillId="12" borderId="15" xfId="0" applyNumberFormat="1" applyFill="1" applyBorder="1"/>
    <xf numFmtId="2" fontId="0" fillId="9" borderId="51" xfId="0" applyNumberFormat="1" applyFill="1" applyBorder="1"/>
    <xf numFmtId="0" fontId="7" fillId="5" borderId="15" xfId="0" applyFont="1" applyFill="1" applyBorder="1" applyAlignment="1">
      <alignment horizontal="center" vertical="center" wrapText="1"/>
    </xf>
    <xf numFmtId="0" fontId="7" fillId="5" borderId="15" xfId="0" applyFont="1" applyFill="1" applyBorder="1" applyAlignment="1">
      <alignment horizontal="center" wrapText="1"/>
    </xf>
    <xf numFmtId="2" fontId="0" fillId="5" borderId="3" xfId="0" applyNumberFormat="1" applyFill="1" applyBorder="1"/>
    <xf numFmtId="2" fontId="0" fillId="5" borderId="15" xfId="0" applyNumberFormat="1" applyFill="1" applyBorder="1"/>
    <xf numFmtId="0" fontId="4" fillId="12" borderId="17" xfId="0" applyFont="1" applyFill="1" applyBorder="1" applyAlignment="1">
      <alignment horizontal="center" vertical="center" wrapText="1"/>
    </xf>
    <xf numFmtId="2" fontId="0" fillId="12" borderId="18" xfId="0" applyNumberFormat="1" applyFill="1" applyBorder="1"/>
    <xf numFmtId="0" fontId="7" fillId="2" borderId="36" xfId="0" applyFont="1" applyFill="1" applyBorder="1" applyAlignment="1" applyProtection="1">
      <alignment horizontal="left" vertical="top" wrapText="1"/>
      <protection locked="0"/>
    </xf>
    <xf numFmtId="0" fontId="0" fillId="5" borderId="25" xfId="0" applyFill="1" applyBorder="1" applyAlignment="1">
      <alignment horizontal="left" vertical="top" wrapText="1"/>
    </xf>
    <xf numFmtId="0" fontId="0" fillId="12" borderId="52" xfId="0" applyFill="1" applyBorder="1" applyAlignment="1">
      <alignment horizontal="center" vertical="top" wrapText="1"/>
    </xf>
    <xf numFmtId="0" fontId="0" fillId="12" borderId="17" xfId="0" applyFill="1" applyBorder="1" applyAlignment="1">
      <alignment horizontal="center" vertical="top" wrapText="1"/>
    </xf>
    <xf numFmtId="0" fontId="0" fillId="2" borderId="53" xfId="0" applyFill="1" applyBorder="1" applyAlignment="1" applyProtection="1">
      <alignment horizontal="center" vertical="top" wrapText="1"/>
      <protection locked="0"/>
    </xf>
    <xf numFmtId="0" fontId="0" fillId="2" borderId="51" xfId="0" applyFill="1" applyBorder="1" applyAlignment="1" applyProtection="1">
      <alignment horizontal="center" vertical="top" wrapText="1"/>
      <protection locked="0"/>
    </xf>
    <xf numFmtId="0" fontId="0" fillId="9" borderId="51" xfId="0" applyFill="1" applyBorder="1" applyAlignment="1">
      <alignment vertical="top"/>
    </xf>
    <xf numFmtId="2" fontId="4" fillId="2" borderId="4" xfId="0" applyNumberFormat="1" applyFont="1" applyFill="1" applyBorder="1"/>
    <xf numFmtId="0" fontId="0" fillId="12" borderId="3" xfId="0" applyFill="1" applyBorder="1" applyAlignment="1">
      <alignment vertical="top" wrapText="1"/>
    </xf>
    <xf numFmtId="0" fontId="0" fillId="0" borderId="45" xfId="0" applyBorder="1" applyAlignment="1">
      <alignment wrapText="1"/>
    </xf>
    <xf numFmtId="0" fontId="0" fillId="9" borderId="45" xfId="0" applyFill="1" applyBorder="1"/>
    <xf numFmtId="0" fontId="4" fillId="0" borderId="45" xfId="0" applyFont="1" applyBorder="1" applyAlignment="1">
      <alignment horizontal="center"/>
    </xf>
    <xf numFmtId="0" fontId="0" fillId="9" borderId="51" xfId="0" applyFill="1" applyBorder="1"/>
    <xf numFmtId="0" fontId="7" fillId="5" borderId="3" xfId="0" applyFont="1" applyFill="1" applyBorder="1" applyAlignment="1">
      <alignment horizontal="left" vertical="top"/>
    </xf>
    <xf numFmtId="0" fontId="0" fillId="12" borderId="17" xfId="0" applyFill="1" applyBorder="1" applyAlignment="1">
      <alignment wrapText="1"/>
    </xf>
    <xf numFmtId="0" fontId="0" fillId="12" borderId="17" xfId="0" applyFill="1" applyBorder="1"/>
    <xf numFmtId="0" fontId="0" fillId="0" borderId="51" xfId="0" applyBorder="1" applyAlignment="1">
      <alignment wrapText="1"/>
    </xf>
    <xf numFmtId="0" fontId="4" fillId="0" borderId="51" xfId="0" applyFont="1" applyBorder="1" applyAlignment="1">
      <alignment horizontal="center"/>
    </xf>
    <xf numFmtId="0" fontId="0" fillId="9" borderId="44" xfId="0" applyFill="1" applyBorder="1"/>
    <xf numFmtId="2" fontId="0" fillId="9" borderId="32" xfId="0" applyNumberFormat="1" applyFill="1" applyBorder="1" applyAlignment="1">
      <alignment vertical="top"/>
    </xf>
    <xf numFmtId="2" fontId="0" fillId="9" borderId="34" xfId="0" applyNumberFormat="1" applyFill="1" applyBorder="1" applyAlignment="1">
      <alignment vertical="top"/>
    </xf>
    <xf numFmtId="2" fontId="0" fillId="9" borderId="36" xfId="0" applyNumberFormat="1" applyFill="1" applyBorder="1" applyAlignment="1">
      <alignment vertical="top"/>
    </xf>
    <xf numFmtId="0" fontId="4" fillId="12" borderId="2" xfId="0" applyFont="1" applyFill="1" applyBorder="1" applyAlignment="1">
      <alignment horizontal="left" vertical="top" wrapText="1"/>
    </xf>
    <xf numFmtId="2" fontId="0" fillId="9" borderId="51" xfId="0" applyNumberFormat="1" applyFill="1" applyBorder="1" applyAlignment="1">
      <alignment vertical="top"/>
    </xf>
    <xf numFmtId="2" fontId="0" fillId="9" borderId="44" xfId="0" applyNumberFormat="1" applyFill="1" applyBorder="1" applyAlignment="1">
      <alignment vertical="top"/>
    </xf>
    <xf numFmtId="0" fontId="4" fillId="0" borderId="1" xfId="0" applyFont="1" applyBorder="1" applyAlignment="1" applyProtection="1">
      <alignment horizontal="left" vertical="top" wrapText="1"/>
      <protection locked="0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31" xfId="0" applyNumberFormat="1" applyFont="1" applyBorder="1" applyAlignment="1">
      <alignment horizontal="center" vertical="center" wrapText="1"/>
    </xf>
    <xf numFmtId="49" fontId="7" fillId="2" borderId="32" xfId="0" applyNumberFormat="1" applyFont="1" applyFill="1" applyBorder="1" applyAlignment="1" applyProtection="1">
      <alignment horizontal="center" vertical="center" wrapText="1"/>
      <protection locked="0"/>
    </xf>
    <xf numFmtId="49" fontId="7" fillId="2" borderId="34" xfId="0" applyNumberFormat="1" applyFont="1" applyFill="1" applyBorder="1" applyAlignment="1" applyProtection="1">
      <alignment horizontal="center" vertical="center" wrapText="1"/>
      <protection locked="0"/>
    </xf>
    <xf numFmtId="49" fontId="7" fillId="2" borderId="36" xfId="0" applyNumberFormat="1" applyFont="1" applyFill="1" applyBorder="1" applyAlignment="1" applyProtection="1">
      <alignment horizontal="center" vertical="center" wrapText="1"/>
      <protection locked="0"/>
    </xf>
    <xf numFmtId="49" fontId="7" fillId="2" borderId="51" xfId="0" applyNumberFormat="1" applyFont="1" applyFill="1" applyBorder="1" applyAlignment="1" applyProtection="1">
      <alignment horizontal="center" vertical="center" wrapText="1"/>
      <protection locked="0"/>
    </xf>
    <xf numFmtId="9" fontId="36" fillId="2" borderId="0" xfId="0" applyNumberFormat="1" applyFont="1" applyFill="1"/>
    <xf numFmtId="0" fontId="17" fillId="2" borderId="0" xfId="0" applyFont="1" applyFill="1" applyAlignment="1">
      <alignment vertical="center"/>
    </xf>
    <xf numFmtId="2" fontId="4" fillId="3" borderId="3" xfId="0" applyNumberFormat="1" applyFont="1" applyFill="1" applyBorder="1"/>
    <xf numFmtId="0" fontId="15" fillId="12" borderId="17" xfId="0" applyFont="1" applyFill="1" applyBorder="1" applyAlignment="1">
      <alignment horizontal="left" wrapText="1"/>
    </xf>
    <xf numFmtId="0" fontId="39" fillId="0" borderId="0" xfId="0" applyFont="1" applyAlignment="1">
      <alignment vertical="center"/>
    </xf>
    <xf numFmtId="49" fontId="4" fillId="12" borderId="15" xfId="0" applyNumberFormat="1" applyFont="1" applyFill="1" applyBorder="1" applyAlignment="1">
      <alignment horizontal="center" vertical="center" wrapText="1"/>
    </xf>
    <xf numFmtId="49" fontId="0" fillId="5" borderId="15" xfId="0" applyNumberFormat="1" applyFill="1" applyBorder="1" applyAlignment="1">
      <alignment horizontal="center" vertical="center"/>
    </xf>
    <xf numFmtId="0" fontId="7" fillId="12" borderId="15" xfId="0" applyFont="1" applyFill="1" applyBorder="1" applyAlignment="1">
      <alignment horizontal="left" vertical="top" wrapText="1"/>
    </xf>
    <xf numFmtId="0" fontId="7" fillId="5" borderId="15" xfId="0" applyFont="1" applyFill="1" applyBorder="1" applyAlignment="1">
      <alignment horizontal="left" vertical="top" wrapText="1"/>
    </xf>
    <xf numFmtId="0" fontId="0" fillId="12" borderId="3" xfId="0" applyFill="1" applyBorder="1" applyAlignment="1">
      <alignment wrapText="1"/>
    </xf>
    <xf numFmtId="0" fontId="4" fillId="5" borderId="15" xfId="0" applyFont="1" applyFill="1" applyBorder="1" applyAlignment="1">
      <alignment horizontal="center"/>
    </xf>
    <xf numFmtId="49" fontId="0" fillId="12" borderId="3" xfId="0" applyNumberFormat="1" applyFill="1" applyBorder="1" applyAlignment="1">
      <alignment horizontal="center" vertical="center" wrapText="1"/>
    </xf>
    <xf numFmtId="0" fontId="0" fillId="12" borderId="15" xfId="0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top" wrapText="1"/>
    </xf>
    <xf numFmtId="0" fontId="4" fillId="5" borderId="15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 applyProtection="1">
      <alignment horizontal="left" vertical="top" wrapText="1"/>
      <protection locked="0"/>
    </xf>
    <xf numFmtId="0" fontId="6" fillId="2" borderId="34" xfId="0" applyFont="1" applyFill="1" applyBorder="1" applyAlignment="1" applyProtection="1">
      <alignment wrapText="1"/>
      <protection locked="0"/>
    </xf>
    <xf numFmtId="0" fontId="6" fillId="2" borderId="35" xfId="0" applyFont="1" applyFill="1" applyBorder="1" applyAlignment="1" applyProtection="1">
      <alignment wrapText="1"/>
      <protection locked="0"/>
    </xf>
    <xf numFmtId="0" fontId="0" fillId="2" borderId="35" xfId="0" applyFill="1" applyBorder="1" applyAlignment="1">
      <alignment wrapText="1"/>
    </xf>
    <xf numFmtId="0" fontId="6" fillId="2" borderId="37" xfId="0" applyFont="1" applyFill="1" applyBorder="1" applyAlignment="1" applyProtection="1">
      <alignment wrapText="1"/>
      <protection locked="0"/>
    </xf>
    <xf numFmtId="0" fontId="17" fillId="2" borderId="4" xfId="0" applyFont="1" applyFill="1" applyBorder="1" applyAlignment="1">
      <alignment horizontal="center" vertical="center"/>
    </xf>
    <xf numFmtId="0" fontId="15" fillId="12" borderId="15" xfId="0" applyFont="1" applyFill="1" applyBorder="1" applyAlignment="1">
      <alignment horizontal="left"/>
    </xf>
    <xf numFmtId="0" fontId="3" fillId="13" borderId="7" xfId="0" applyFont="1" applyFill="1" applyBorder="1" applyAlignment="1">
      <alignment wrapText="1"/>
    </xf>
    <xf numFmtId="0" fontId="4" fillId="5" borderId="0" xfId="0" applyFont="1" applyFill="1" applyAlignment="1">
      <alignment horizontal="right" wrapText="1"/>
    </xf>
    <xf numFmtId="0" fontId="6" fillId="0" borderId="1" xfId="0" applyFont="1" applyBorder="1" applyAlignment="1">
      <alignment wrapText="1"/>
    </xf>
    <xf numFmtId="0" fontId="0" fillId="0" borderId="0" xfId="0" applyAlignment="1">
      <alignment horizontal="right" wrapText="1"/>
    </xf>
    <xf numFmtId="0" fontId="2" fillId="0" borderId="0" xfId="0" applyFont="1" applyAlignment="1">
      <alignment horizontal="center" vertical="center"/>
    </xf>
    <xf numFmtId="0" fontId="6" fillId="2" borderId="36" xfId="0" applyFont="1" applyFill="1" applyBorder="1"/>
    <xf numFmtId="0" fontId="40" fillId="14" borderId="47" xfId="0" applyFont="1" applyFill="1" applyBorder="1" applyAlignment="1">
      <alignment horizontal="center" vertical="center"/>
    </xf>
    <xf numFmtId="0" fontId="41" fillId="14" borderId="48" xfId="0" applyFont="1" applyFill="1" applyBorder="1" applyAlignment="1">
      <alignment horizontal="center" vertical="center"/>
    </xf>
    <xf numFmtId="0" fontId="16" fillId="12" borderId="19" xfId="0" applyFont="1" applyFill="1" applyBorder="1" applyAlignment="1">
      <alignment horizontal="center" vertical="center" wrapText="1"/>
    </xf>
    <xf numFmtId="0" fontId="16" fillId="12" borderId="20" xfId="0" applyFont="1" applyFill="1" applyBorder="1" applyAlignment="1">
      <alignment horizontal="center" vertical="center" wrapText="1"/>
    </xf>
    <xf numFmtId="0" fontId="16" fillId="12" borderId="21" xfId="0" applyFont="1" applyFill="1" applyBorder="1" applyAlignment="1">
      <alignment horizontal="center" vertical="center" wrapText="1"/>
    </xf>
    <xf numFmtId="0" fontId="20" fillId="11" borderId="2" xfId="0" applyFont="1" applyFill="1" applyBorder="1" applyAlignment="1">
      <alignment horizontal="center" vertical="center"/>
    </xf>
    <xf numFmtId="0" fontId="20" fillId="11" borderId="15" xfId="0" applyFont="1" applyFill="1" applyBorder="1" applyAlignment="1">
      <alignment horizontal="center" vertical="center"/>
    </xf>
    <xf numFmtId="0" fontId="0" fillId="2" borderId="33" xfId="0" applyFill="1" applyBorder="1" applyAlignment="1">
      <alignment horizontal="left"/>
    </xf>
    <xf numFmtId="0" fontId="0" fillId="2" borderId="54" xfId="0" applyFill="1" applyBorder="1" applyAlignment="1">
      <alignment horizontal="left"/>
    </xf>
    <xf numFmtId="0" fontId="0" fillId="2" borderId="35" xfId="0" applyFill="1" applyBorder="1" applyAlignment="1">
      <alignment horizontal="left"/>
    </xf>
    <xf numFmtId="0" fontId="0" fillId="0" borderId="55" xfId="0" applyBorder="1" applyAlignment="1">
      <alignment horizontal="left"/>
    </xf>
    <xf numFmtId="0" fontId="0" fillId="2" borderId="55" xfId="0" applyFill="1" applyBorder="1" applyAlignment="1">
      <alignment horizontal="left"/>
    </xf>
    <xf numFmtId="0" fontId="23" fillId="2" borderId="2" xfId="0" applyFont="1" applyFill="1" applyBorder="1" applyAlignment="1">
      <alignment horizontal="left" vertical="center" wrapText="1"/>
    </xf>
    <xf numFmtId="0" fontId="23" fillId="2" borderId="3" xfId="0" applyFont="1" applyFill="1" applyBorder="1" applyAlignment="1">
      <alignment horizontal="left" vertical="center" wrapText="1"/>
    </xf>
    <xf numFmtId="0" fontId="0" fillId="0" borderId="54" xfId="0" applyBorder="1" applyAlignment="1">
      <alignment horizontal="left"/>
    </xf>
    <xf numFmtId="0" fontId="0" fillId="2" borderId="35" xfId="0" applyFill="1" applyBorder="1" applyAlignment="1">
      <alignment horizontal="left" wrapText="1"/>
    </xf>
    <xf numFmtId="0" fontId="0" fillId="0" borderId="55" xfId="0" applyBorder="1" applyAlignment="1">
      <alignment horizontal="left" wrapText="1"/>
    </xf>
    <xf numFmtId="0" fontId="0" fillId="2" borderId="37" xfId="0" applyFill="1" applyBorder="1" applyAlignment="1">
      <alignment horizontal="left"/>
    </xf>
    <xf numFmtId="0" fontId="0" fillId="0" borderId="56" xfId="0" applyBorder="1" applyAlignment="1">
      <alignment horizontal="left"/>
    </xf>
    <xf numFmtId="0" fontId="7" fillId="0" borderId="0" xfId="0" applyFont="1" applyAlignment="1">
      <alignment horizontal="left"/>
    </xf>
    <xf numFmtId="0" fontId="16" fillId="11" borderId="2" xfId="0" applyFont="1" applyFill="1" applyBorder="1" applyAlignment="1">
      <alignment horizontal="center" vertical="center"/>
    </xf>
    <xf numFmtId="0" fontId="16" fillId="11" borderId="15" xfId="0" applyFont="1" applyFill="1" applyBorder="1" applyAlignment="1">
      <alignment horizontal="center" vertical="center"/>
    </xf>
    <xf numFmtId="14" fontId="7" fillId="0" borderId="0" xfId="0" applyNumberFormat="1" applyFont="1" applyAlignment="1">
      <alignment horizontal="left"/>
    </xf>
    <xf numFmtId="0" fontId="0" fillId="0" borderId="0" xfId="0" applyAlignment="1">
      <alignment horizontal="left" vertical="center"/>
    </xf>
    <xf numFmtId="0" fontId="16" fillId="12" borderId="1" xfId="0" applyFont="1" applyFill="1" applyBorder="1" applyAlignment="1">
      <alignment horizontal="center" vertical="center"/>
    </xf>
    <xf numFmtId="0" fontId="24" fillId="13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/>
    </xf>
    <xf numFmtId="14" fontId="4" fillId="2" borderId="0" xfId="0" applyNumberFormat="1" applyFont="1" applyFill="1" applyAlignment="1">
      <alignment horizontal="left" vertical="center"/>
    </xf>
  </cellXfs>
  <cellStyles count="4">
    <cellStyle name="Hyperlinkki" xfId="2" builtinId="8"/>
    <cellStyle name="Normaali" xfId="0" builtinId="0"/>
    <cellStyle name="Prosenttia" xfId="1" builtinId="5"/>
    <cellStyle name="Valuutta" xfId="3" builtinId="4"/>
  </cellStyles>
  <dxfs count="13">
    <dxf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u val="none"/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ont>
        <color theme="0"/>
      </font>
      <fill>
        <patternFill>
          <bgColor theme="0"/>
        </patternFill>
      </fill>
    </dxf>
    <dxf>
      <font>
        <u val="none"/>
        <color theme="0"/>
      </font>
      <fill>
        <patternFill>
          <bgColor theme="1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AF8A4"/>
      <color rgb="FFEFCF92"/>
      <color rgb="FFF4DCB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2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hyperlink" Target="https://youtu.be/IjZWhNEgX5M?si=fT4AAokyQL9aXfLV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15.png"/><Relationship Id="rId1" Type="http://schemas.openxmlformats.org/officeDocument/2006/relationships/image" Target="../media/image14.jp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jpg"/><Relationship Id="rId2" Type="http://schemas.openxmlformats.org/officeDocument/2006/relationships/image" Target="../media/image17.png"/><Relationship Id="rId1" Type="http://schemas.openxmlformats.org/officeDocument/2006/relationships/image" Target="../media/image16.png"/><Relationship Id="rId4" Type="http://schemas.openxmlformats.org/officeDocument/2006/relationships/image" Target="../media/image1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15.png"/><Relationship Id="rId1" Type="http://schemas.openxmlformats.org/officeDocument/2006/relationships/image" Target="../media/image14.jp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19.jpeg"/><Relationship Id="rId1" Type="http://schemas.openxmlformats.org/officeDocument/2006/relationships/image" Target="../media/image1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162</xdr:row>
      <xdr:rowOff>133350</xdr:rowOff>
    </xdr:from>
    <xdr:to>
      <xdr:col>4</xdr:col>
      <xdr:colOff>495798</xdr:colOff>
      <xdr:row>174</xdr:row>
      <xdr:rowOff>247850</xdr:rowOff>
    </xdr:to>
    <xdr:pic>
      <xdr:nvPicPr>
        <xdr:cNvPr id="77" name="Kuva 76">
          <a:extLst>
            <a:ext uri="{FF2B5EF4-FFF2-40B4-BE49-F238E27FC236}">
              <a16:creationId xmlns:a16="http://schemas.microsoft.com/office/drawing/2014/main" id="{4AFD5A8D-F7AC-E630-50A6-1E813C9C60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" y="30184725"/>
          <a:ext cx="9687423" cy="3895925"/>
        </a:xfrm>
        <a:prstGeom prst="rect">
          <a:avLst/>
        </a:prstGeom>
      </xdr:spPr>
    </xdr:pic>
    <xdr:clientData/>
  </xdr:twoCellAnchor>
  <xdr:twoCellAnchor editAs="oneCell">
    <xdr:from>
      <xdr:col>3</xdr:col>
      <xdr:colOff>558801</xdr:colOff>
      <xdr:row>140</xdr:row>
      <xdr:rowOff>0</xdr:rowOff>
    </xdr:from>
    <xdr:to>
      <xdr:col>7</xdr:col>
      <xdr:colOff>473076</xdr:colOff>
      <xdr:row>153</xdr:row>
      <xdr:rowOff>934</xdr:rowOff>
    </xdr:to>
    <xdr:pic>
      <xdr:nvPicPr>
        <xdr:cNvPr id="76" name="Kuva 75">
          <a:extLst>
            <a:ext uri="{FF2B5EF4-FFF2-40B4-BE49-F238E27FC236}">
              <a16:creationId xmlns:a16="http://schemas.microsoft.com/office/drawing/2014/main" id="{17DB0414-7D89-B688-6F2F-F0B6D66F6D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88251" y="26069925"/>
          <a:ext cx="6686550" cy="2353609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twoCellAnchor>
  <xdr:twoCellAnchor editAs="oneCell">
    <xdr:from>
      <xdr:col>1</xdr:col>
      <xdr:colOff>0</xdr:colOff>
      <xdr:row>140</xdr:row>
      <xdr:rowOff>0</xdr:rowOff>
    </xdr:from>
    <xdr:to>
      <xdr:col>3</xdr:col>
      <xdr:colOff>428625</xdr:colOff>
      <xdr:row>154</xdr:row>
      <xdr:rowOff>151410</xdr:rowOff>
    </xdr:to>
    <xdr:pic>
      <xdr:nvPicPr>
        <xdr:cNvPr id="75" name="Kuva 74">
          <a:extLst>
            <a:ext uri="{FF2B5EF4-FFF2-40B4-BE49-F238E27FC236}">
              <a16:creationId xmlns:a16="http://schemas.microsoft.com/office/drawing/2014/main" id="{4F25F3BC-DFBD-A78B-94FC-4A2EE3351A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775" y="26069925"/>
          <a:ext cx="7350125" cy="2685060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twoCellAnchor>
  <xdr:twoCellAnchor editAs="oneCell">
    <xdr:from>
      <xdr:col>1</xdr:col>
      <xdr:colOff>28574</xdr:colOff>
      <xdr:row>52</xdr:row>
      <xdr:rowOff>19050</xdr:rowOff>
    </xdr:from>
    <xdr:to>
      <xdr:col>5</xdr:col>
      <xdr:colOff>2798649</xdr:colOff>
      <xdr:row>72</xdr:row>
      <xdr:rowOff>171450</xdr:rowOff>
    </xdr:to>
    <xdr:pic>
      <xdr:nvPicPr>
        <xdr:cNvPr id="73" name="Kuva 72">
          <a:extLst>
            <a:ext uri="{FF2B5EF4-FFF2-40B4-BE49-F238E27FC236}">
              <a16:creationId xmlns:a16="http://schemas.microsoft.com/office/drawing/2014/main" id="{84935D3C-FCF7-C7F5-F1AE-E2EDAC26D3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33349" y="9782175"/>
          <a:ext cx="13342825" cy="379095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31</xdr:row>
      <xdr:rowOff>9525</xdr:rowOff>
    </xdr:from>
    <xdr:to>
      <xdr:col>2</xdr:col>
      <xdr:colOff>797205</xdr:colOff>
      <xdr:row>45</xdr:row>
      <xdr:rowOff>95384</xdr:rowOff>
    </xdr:to>
    <xdr:pic>
      <xdr:nvPicPr>
        <xdr:cNvPr id="72" name="Kuva 71">
          <a:extLst>
            <a:ext uri="{FF2B5EF4-FFF2-40B4-BE49-F238E27FC236}">
              <a16:creationId xmlns:a16="http://schemas.microsoft.com/office/drawing/2014/main" id="{5B980F4D-D732-B891-0FA7-67193882A8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95275" y="5972175"/>
          <a:ext cx="5454930" cy="2619509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twoCellAnchor>
  <xdr:twoCellAnchor editAs="oneCell">
    <xdr:from>
      <xdr:col>5</xdr:col>
      <xdr:colOff>990307</xdr:colOff>
      <xdr:row>0</xdr:row>
      <xdr:rowOff>187972</xdr:rowOff>
    </xdr:from>
    <xdr:to>
      <xdr:col>5</xdr:col>
      <xdr:colOff>1939926</xdr:colOff>
      <xdr:row>2</xdr:row>
      <xdr:rowOff>28575</xdr:rowOff>
    </xdr:to>
    <xdr:pic>
      <xdr:nvPicPr>
        <xdr:cNvPr id="6" name="Kuva 5">
          <a:extLst>
            <a:ext uri="{FF2B5EF4-FFF2-40B4-BE49-F238E27FC236}">
              <a16:creationId xmlns:a16="http://schemas.microsoft.com/office/drawing/2014/main" id="{DB7103E6-4B73-4E10-B2AD-639DB23CC2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77357" y="187972"/>
          <a:ext cx="949619" cy="358128"/>
        </a:xfrm>
        <a:prstGeom prst="rect">
          <a:avLst/>
        </a:prstGeom>
      </xdr:spPr>
    </xdr:pic>
    <xdr:clientData/>
  </xdr:twoCellAnchor>
  <xdr:twoCellAnchor>
    <xdr:from>
      <xdr:col>0</xdr:col>
      <xdr:colOff>59530</xdr:colOff>
      <xdr:row>1</xdr:row>
      <xdr:rowOff>179388</xdr:rowOff>
    </xdr:from>
    <xdr:to>
      <xdr:col>1</xdr:col>
      <xdr:colOff>3552825</xdr:colOff>
      <xdr:row>3</xdr:row>
      <xdr:rowOff>114300</xdr:rowOff>
    </xdr:to>
    <xdr:sp macro="" textlink="">
      <xdr:nvSpPr>
        <xdr:cNvPr id="7" name="Tekstiruutu 6">
          <a:extLst>
            <a:ext uri="{FF2B5EF4-FFF2-40B4-BE49-F238E27FC236}">
              <a16:creationId xmlns:a16="http://schemas.microsoft.com/office/drawing/2014/main" id="{05786618-3803-48A5-B57F-0F031B686B3F}"/>
            </a:ext>
          </a:extLst>
        </xdr:cNvPr>
        <xdr:cNvSpPr txBox="1"/>
      </xdr:nvSpPr>
      <xdr:spPr>
        <a:xfrm>
          <a:off x="59530" y="515938"/>
          <a:ext cx="3601245" cy="3032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auto" latinLnBrk="0" hangingPunct="1"/>
          <a:r>
            <a:rPr lang="fi-FI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Lataa Excel työkirja omalle koneellesi.  </a:t>
          </a:r>
          <a:endParaRPr lang="fi-FI" sz="12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3</xdr:col>
      <xdr:colOff>1258384</xdr:colOff>
      <xdr:row>3</xdr:row>
      <xdr:rowOff>49764</xdr:rowOff>
    </xdr:from>
    <xdr:to>
      <xdr:col>3</xdr:col>
      <xdr:colOff>1639403</xdr:colOff>
      <xdr:row>5</xdr:row>
      <xdr:rowOff>48988</xdr:rowOff>
    </xdr:to>
    <xdr:pic>
      <xdr:nvPicPr>
        <xdr:cNvPr id="8" name="Kuva 7">
          <a:extLst>
            <a:ext uri="{FF2B5EF4-FFF2-40B4-BE49-F238E27FC236}">
              <a16:creationId xmlns:a16="http://schemas.microsoft.com/office/drawing/2014/main" id="{9CCDF3BB-3747-4364-AC70-77EF9DD156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294184" y="754614"/>
          <a:ext cx="381019" cy="380224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>
    <xdr:from>
      <xdr:col>1</xdr:col>
      <xdr:colOff>189248</xdr:colOff>
      <xdr:row>27</xdr:row>
      <xdr:rowOff>125553</xdr:rowOff>
    </xdr:from>
    <xdr:to>
      <xdr:col>2</xdr:col>
      <xdr:colOff>408214</xdr:colOff>
      <xdr:row>30</xdr:row>
      <xdr:rowOff>50410</xdr:rowOff>
    </xdr:to>
    <xdr:sp macro="" textlink="">
      <xdr:nvSpPr>
        <xdr:cNvPr id="9" name="Tekstiruutu 8">
          <a:extLst>
            <a:ext uri="{FF2B5EF4-FFF2-40B4-BE49-F238E27FC236}">
              <a16:creationId xmlns:a16="http://schemas.microsoft.com/office/drawing/2014/main" id="{9936765C-AA4A-43F5-B724-3637EEDD43B0}"/>
            </a:ext>
          </a:extLst>
        </xdr:cNvPr>
        <xdr:cNvSpPr txBox="1"/>
      </xdr:nvSpPr>
      <xdr:spPr>
        <a:xfrm>
          <a:off x="297198" y="5434153"/>
          <a:ext cx="5070366" cy="477307"/>
        </a:xfrm>
        <a:prstGeom prst="rect">
          <a:avLst/>
        </a:prstGeom>
        <a:solidFill>
          <a:schemeClr val="accent2"/>
        </a:solidFill>
        <a:ln/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i-FI" sz="1600" b="1">
              <a:solidFill>
                <a:schemeClr val="bg1"/>
              </a:solidFill>
            </a:rPr>
            <a:t>ALOITA TÄSTÄ!</a:t>
          </a:r>
        </a:p>
      </xdr:txBody>
    </xdr:sp>
    <xdr:clientData/>
  </xdr:twoCellAnchor>
  <xdr:twoCellAnchor>
    <xdr:from>
      <xdr:col>0</xdr:col>
      <xdr:colOff>74083</xdr:colOff>
      <xdr:row>11</xdr:row>
      <xdr:rowOff>53974</xdr:rowOff>
    </xdr:from>
    <xdr:to>
      <xdr:col>3</xdr:col>
      <xdr:colOff>1227818</xdr:colOff>
      <xdr:row>21</xdr:row>
      <xdr:rowOff>155509</xdr:rowOff>
    </xdr:to>
    <xdr:sp macro="" textlink="">
      <xdr:nvSpPr>
        <xdr:cNvPr id="10" name="Tekstiruutu 9">
          <a:extLst>
            <a:ext uri="{FF2B5EF4-FFF2-40B4-BE49-F238E27FC236}">
              <a16:creationId xmlns:a16="http://schemas.microsoft.com/office/drawing/2014/main" id="{AFAA2267-6594-4D46-9E9A-383C7612E4CF}"/>
            </a:ext>
          </a:extLst>
        </xdr:cNvPr>
        <xdr:cNvSpPr txBox="1"/>
      </xdr:nvSpPr>
      <xdr:spPr>
        <a:xfrm>
          <a:off x="74083" y="2257424"/>
          <a:ext cx="8189535" cy="194303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Tässä työkirjassa on ohjeen lisäksi viisi taulukkoa, jotka koostuvat täytettävistä</a:t>
          </a:r>
          <a:r>
            <a:rPr lang="fi-FI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taulukoista ja niistä johdetuista koonneista, joita voi vain tulostaa tai tallentaa omaksi tiedostoksi.</a:t>
          </a:r>
          <a:endParaRPr lang="fi-FI">
            <a:effectLst/>
          </a:endParaRPr>
        </a:p>
        <a:p>
          <a:r>
            <a:rPr lang="fi-FI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Laskentataulukolla voit tehdä: </a:t>
          </a:r>
        </a:p>
        <a:p>
          <a:r>
            <a:rPr lang="fi-FI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</a:t>
          </a:r>
          <a:r>
            <a:rPr lang="fi-FI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kustannusarvion</a:t>
          </a:r>
          <a:endParaRPr lang="fi-FI" sz="110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i-FI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kirjata </a:t>
          </a:r>
          <a:r>
            <a:rPr lang="fi-FI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arvion vastikkeettoman työn laadusta ja määrärästä</a:t>
          </a:r>
          <a:r>
            <a:rPr lang="fi-FI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r>
            <a:rPr lang="fi-FI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kirjoittaa </a:t>
          </a:r>
          <a:r>
            <a:rPr lang="fi-FI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rakennusselostuksen</a:t>
          </a:r>
          <a:r>
            <a:rPr lang="fi-FI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</a:t>
          </a:r>
        </a:p>
        <a:p>
          <a:r>
            <a:rPr lang="fi-FI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Kustannusarviotaulukon alareunaan syntyy näistä tiedoista </a:t>
          </a:r>
          <a:r>
            <a:rPr lang="fi-FI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rahoitussuunnitelma.</a:t>
          </a:r>
          <a:endParaRPr lang="fi-FI" sz="110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fi-FI">
            <a:effectLst/>
          </a:endParaRPr>
        </a:p>
        <a:p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Kustannukset syntyvät rakentamiseen tarvittavista  materiaalien määristä</a:t>
          </a:r>
          <a:r>
            <a:rPr lang="fi-FI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ja hinnoista</a:t>
          </a:r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mahdollisista urakoista</a:t>
          </a:r>
          <a:r>
            <a:rPr lang="fi-FI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ja näihin töihin liittyvistä vastikkeettomasta työstä. </a:t>
          </a:r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Kustannusarvion tekijän tulee olla rakennusalan asiantuntija.</a:t>
          </a:r>
          <a:endParaRPr lang="fi-FI" sz="1100" b="1" baseline="0"/>
        </a:p>
        <a:p>
          <a:endParaRPr lang="fi-FI" sz="110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fi-FI">
            <a:effectLst/>
          </a:endParaRPr>
        </a:p>
        <a:p>
          <a:endParaRPr lang="fi-FI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i-FI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</xdr:txBody>
    </xdr:sp>
    <xdr:clientData/>
  </xdr:twoCellAnchor>
  <xdr:twoCellAnchor>
    <xdr:from>
      <xdr:col>1</xdr:col>
      <xdr:colOff>97367</xdr:colOff>
      <xdr:row>6</xdr:row>
      <xdr:rowOff>75142</xdr:rowOff>
    </xdr:from>
    <xdr:to>
      <xdr:col>1</xdr:col>
      <xdr:colOff>2199324</xdr:colOff>
      <xdr:row>9</xdr:row>
      <xdr:rowOff>171253</xdr:rowOff>
    </xdr:to>
    <xdr:grpSp>
      <xdr:nvGrpSpPr>
        <xdr:cNvPr id="11" name="Ryhmä 10">
          <a:extLst>
            <a:ext uri="{FF2B5EF4-FFF2-40B4-BE49-F238E27FC236}">
              <a16:creationId xmlns:a16="http://schemas.microsoft.com/office/drawing/2014/main" id="{E01E6214-F754-4E1B-9F93-D83797EBB1C2}"/>
            </a:ext>
          </a:extLst>
        </xdr:cNvPr>
        <xdr:cNvGrpSpPr/>
      </xdr:nvGrpSpPr>
      <xdr:grpSpPr>
        <a:xfrm>
          <a:off x="202142" y="1332442"/>
          <a:ext cx="2105132" cy="658086"/>
          <a:chOff x="290523" y="10233237"/>
          <a:chExt cx="2105132" cy="633745"/>
        </a:xfrm>
      </xdr:grpSpPr>
      <xdr:pic>
        <xdr:nvPicPr>
          <xdr:cNvPr id="12" name="Kuva 11" descr="Kuva, joka sisältää kohteen teksti, kuvakaappaus, Fontti, viiva&#10;&#10;Kuvaus luotu automaattisesti">
            <a:extLst>
              <a:ext uri="{FF2B5EF4-FFF2-40B4-BE49-F238E27FC236}">
                <a16:creationId xmlns:a16="http://schemas.microsoft.com/office/drawing/2014/main" id="{8D75E2A4-1811-19C5-8BDB-4BD59CA84E0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8"/>
          <a:stretch>
            <a:fillRect/>
          </a:stretch>
        </xdr:blipFill>
        <xdr:spPr>
          <a:xfrm>
            <a:off x="290523" y="10283666"/>
            <a:ext cx="2105132" cy="583316"/>
          </a:xfrm>
          <a:prstGeom prst="rect">
            <a:avLst/>
          </a:prstGeom>
          <a:ln>
            <a:solidFill>
              <a:schemeClr val="accent1"/>
            </a:solidFill>
          </a:ln>
        </xdr:spPr>
      </xdr:pic>
      <xdr:sp macro="" textlink="">
        <xdr:nvSpPr>
          <xdr:cNvPr id="13" name="Ellipsi 12">
            <a:extLst>
              <a:ext uri="{FF2B5EF4-FFF2-40B4-BE49-F238E27FC236}">
                <a16:creationId xmlns:a16="http://schemas.microsoft.com/office/drawing/2014/main" id="{90401A58-5B0B-66AE-3E97-F99288B89218}"/>
              </a:ext>
            </a:extLst>
          </xdr:cNvPr>
          <xdr:cNvSpPr/>
        </xdr:nvSpPr>
        <xdr:spPr>
          <a:xfrm>
            <a:off x="805003" y="10233237"/>
            <a:ext cx="429243" cy="401996"/>
          </a:xfrm>
          <a:prstGeom prst="ellipse">
            <a:avLst/>
          </a:prstGeom>
          <a:noFill/>
          <a:ln w="19050">
            <a:solidFill>
              <a:srgbClr val="FF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i-FI" sz="1100"/>
          </a:p>
        </xdr:txBody>
      </xdr:sp>
    </xdr:grpSp>
    <xdr:clientData/>
  </xdr:twoCellAnchor>
  <xdr:twoCellAnchor>
    <xdr:from>
      <xdr:col>1</xdr:col>
      <xdr:colOff>2298700</xdr:colOff>
      <xdr:row>7</xdr:row>
      <xdr:rowOff>25401</xdr:rowOff>
    </xdr:from>
    <xdr:to>
      <xdr:col>3</xdr:col>
      <xdr:colOff>1104901</xdr:colOff>
      <xdr:row>9</xdr:row>
      <xdr:rowOff>57150</xdr:rowOff>
    </xdr:to>
    <xdr:sp macro="" textlink="">
      <xdr:nvSpPr>
        <xdr:cNvPr id="14" name="Tekstiruutu 13">
          <a:extLst>
            <a:ext uri="{FF2B5EF4-FFF2-40B4-BE49-F238E27FC236}">
              <a16:creationId xmlns:a16="http://schemas.microsoft.com/office/drawing/2014/main" id="{B2197D5A-29E7-462D-A948-F54A32BF584C}"/>
            </a:ext>
          </a:extLst>
        </xdr:cNvPr>
        <xdr:cNvSpPr txBox="1"/>
      </xdr:nvSpPr>
      <xdr:spPr>
        <a:xfrm>
          <a:off x="2406650" y="1492251"/>
          <a:ext cx="5734051" cy="400049"/>
        </a:xfrm>
        <a:prstGeom prst="rect">
          <a:avLst/>
        </a:prstGeom>
        <a:ln>
          <a:noFill/>
        </a:ln>
        <a:effectLst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200" b="0"/>
            <a:t>Jos solussa on </a:t>
          </a:r>
          <a:r>
            <a:rPr lang="fi-FI" sz="1200" b="1">
              <a:solidFill>
                <a:srgbClr val="FF0000"/>
              </a:solidFill>
            </a:rPr>
            <a:t>punainen kulma</a:t>
          </a:r>
          <a:r>
            <a:rPr lang="fi-FI" sz="1200" b="0"/>
            <a:t>, saat siitä lisää ohjeita </a:t>
          </a:r>
          <a:r>
            <a:rPr lang="fi-FI" sz="12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viemällä</a:t>
          </a:r>
          <a:r>
            <a:rPr lang="fi-FI" sz="1200" b="0" baseline="0"/>
            <a:t> hiiren osoittimen solun päälle.</a:t>
          </a:r>
          <a:endParaRPr lang="fi-FI" sz="1200" b="0"/>
        </a:p>
      </xdr:txBody>
    </xdr:sp>
    <xdr:clientData/>
  </xdr:twoCellAnchor>
  <xdr:twoCellAnchor editAs="oneCell">
    <xdr:from>
      <xdr:col>1</xdr:col>
      <xdr:colOff>210608</xdr:colOff>
      <xdr:row>7</xdr:row>
      <xdr:rowOff>114300</xdr:rowOff>
    </xdr:from>
    <xdr:to>
      <xdr:col>1</xdr:col>
      <xdr:colOff>426618</xdr:colOff>
      <xdr:row>8</xdr:row>
      <xdr:rowOff>162855</xdr:rowOff>
    </xdr:to>
    <xdr:pic>
      <xdr:nvPicPr>
        <xdr:cNvPr id="15" name="Kuva 14">
          <a:extLst>
            <a:ext uri="{FF2B5EF4-FFF2-40B4-BE49-F238E27FC236}">
              <a16:creationId xmlns:a16="http://schemas.microsoft.com/office/drawing/2014/main" id="{B8204A14-0A0B-43E0-8358-54911D7BA8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18558" y="1581150"/>
          <a:ext cx="219185" cy="232705"/>
        </a:xfrm>
        <a:prstGeom prst="rect">
          <a:avLst/>
        </a:prstGeom>
      </xdr:spPr>
    </xdr:pic>
    <xdr:clientData/>
  </xdr:twoCellAnchor>
  <xdr:twoCellAnchor>
    <xdr:from>
      <xdr:col>1</xdr:col>
      <xdr:colOff>75730</xdr:colOff>
      <xdr:row>136</xdr:row>
      <xdr:rowOff>154838</xdr:rowOff>
    </xdr:from>
    <xdr:to>
      <xdr:col>1</xdr:col>
      <xdr:colOff>4516496</xdr:colOff>
      <xdr:row>139</xdr:row>
      <xdr:rowOff>48678</xdr:rowOff>
    </xdr:to>
    <xdr:sp macro="" textlink="">
      <xdr:nvSpPr>
        <xdr:cNvPr id="16" name="Tekstiruutu 15">
          <a:extLst>
            <a:ext uri="{FF2B5EF4-FFF2-40B4-BE49-F238E27FC236}">
              <a16:creationId xmlns:a16="http://schemas.microsoft.com/office/drawing/2014/main" id="{44BCEE2F-E64D-4D2E-B82D-6DD3936F6F40}"/>
            </a:ext>
          </a:extLst>
        </xdr:cNvPr>
        <xdr:cNvSpPr txBox="1"/>
      </xdr:nvSpPr>
      <xdr:spPr>
        <a:xfrm>
          <a:off x="183680" y="25846938"/>
          <a:ext cx="4440766" cy="446290"/>
        </a:xfrm>
        <a:prstGeom prst="rect">
          <a:avLst/>
        </a:prstGeom>
        <a:solidFill>
          <a:srgbClr val="FFFF00"/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600"/>
            <a:t>Kustannusarvion koonti</a:t>
          </a:r>
        </a:p>
      </xdr:txBody>
    </xdr:sp>
    <xdr:clientData/>
  </xdr:twoCellAnchor>
  <xdr:twoCellAnchor>
    <xdr:from>
      <xdr:col>2</xdr:col>
      <xdr:colOff>1552574</xdr:colOff>
      <xdr:row>74</xdr:row>
      <xdr:rowOff>26532</xdr:rowOff>
    </xdr:from>
    <xdr:to>
      <xdr:col>7</xdr:col>
      <xdr:colOff>0</xdr:colOff>
      <xdr:row>81</xdr:row>
      <xdr:rowOff>155511</xdr:rowOff>
    </xdr:to>
    <xdr:sp macro="" textlink="">
      <xdr:nvSpPr>
        <xdr:cNvPr id="17" name="Tekstiruutu 16">
          <a:extLst>
            <a:ext uri="{FF2B5EF4-FFF2-40B4-BE49-F238E27FC236}">
              <a16:creationId xmlns:a16="http://schemas.microsoft.com/office/drawing/2014/main" id="{FB31D9EC-B623-486A-9165-5EB6484A86DE}"/>
            </a:ext>
          </a:extLst>
        </xdr:cNvPr>
        <xdr:cNvSpPr txBox="1"/>
      </xdr:nvSpPr>
      <xdr:spPr>
        <a:xfrm>
          <a:off x="6511924" y="14002882"/>
          <a:ext cx="7299326" cy="1418029"/>
        </a:xfrm>
        <a:prstGeom prst="rect">
          <a:avLst/>
        </a:prstGeom>
        <a:ln>
          <a:noFill/>
        </a:ln>
        <a:effectLst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100" b="1" i="0">
              <a:solidFill>
                <a:schemeClr val="accent1">
                  <a:lumMod val="75000"/>
                </a:schemeClr>
              </a:solidFill>
            </a:rPr>
            <a:t>3. ARVIO</a:t>
          </a:r>
          <a:r>
            <a:rPr lang="fi-FI" sz="1100" b="1" i="0" baseline="0">
              <a:solidFill>
                <a:schemeClr val="accent1">
                  <a:lumMod val="75000"/>
                </a:schemeClr>
              </a:solidFill>
            </a:rPr>
            <a:t> VASTIKKEETOMAN TYÖN LAADUSTA JA MÄÄRÄSTÄ</a:t>
          </a:r>
          <a:endParaRPr lang="fi-FI" sz="1100" b="1" i="0">
            <a:solidFill>
              <a:schemeClr val="accent1">
                <a:lumMod val="75000"/>
              </a:schemeClr>
            </a:solidFill>
          </a:endParaRPr>
        </a:p>
        <a:p>
          <a:r>
            <a:rPr lang="fi-FI" sz="1100" i="0"/>
            <a:t>Kirjoita</a:t>
          </a:r>
          <a:r>
            <a:rPr lang="fi-FI" sz="1100" i="0" baseline="0"/>
            <a:t> mitä vastikkeetonta työtä on aikomus tehdä ja kuinka monta henkilöä siihen osallistuu niihin kohtiin joihin sitä tulee. </a:t>
          </a:r>
        </a:p>
        <a:p>
          <a:endParaRPr lang="fi-FI" sz="1100" i="0" baseline="0"/>
        </a:p>
        <a:p>
          <a:r>
            <a:rPr lang="fi-FI" sz="1100" i="0" baseline="0"/>
            <a:t>Avaa tehtävä työ mahdollisimman tarkasti.</a:t>
          </a:r>
        </a:p>
        <a:p>
          <a:endParaRPr lang="fi-FI" sz="1100" i="0" baseline="0"/>
        </a:p>
        <a:p>
          <a:r>
            <a:rPr lang="fi-FI" sz="1100" i="0" baseline="0"/>
            <a:t>Muista merkitä myös arvio työn ajankohdasta. (kk/vv)</a:t>
          </a:r>
        </a:p>
        <a:p>
          <a:endParaRPr lang="fi-FI" sz="1100" i="1"/>
        </a:p>
      </xdr:txBody>
    </xdr:sp>
    <xdr:clientData/>
  </xdr:twoCellAnchor>
  <xdr:twoCellAnchor>
    <xdr:from>
      <xdr:col>2</xdr:col>
      <xdr:colOff>1572013</xdr:colOff>
      <xdr:row>81</xdr:row>
      <xdr:rowOff>161552</xdr:rowOff>
    </xdr:from>
    <xdr:to>
      <xdr:col>7</xdr:col>
      <xdr:colOff>515247</xdr:colOff>
      <xdr:row>91</xdr:row>
      <xdr:rowOff>57150</xdr:rowOff>
    </xdr:to>
    <xdr:sp macro="" textlink="">
      <xdr:nvSpPr>
        <xdr:cNvPr id="18" name="Tekstiruutu 17">
          <a:extLst>
            <a:ext uri="{FF2B5EF4-FFF2-40B4-BE49-F238E27FC236}">
              <a16:creationId xmlns:a16="http://schemas.microsoft.com/office/drawing/2014/main" id="{4227F28D-53DC-425A-A715-C2E543223F74}"/>
            </a:ext>
          </a:extLst>
        </xdr:cNvPr>
        <xdr:cNvSpPr txBox="1"/>
      </xdr:nvSpPr>
      <xdr:spPr>
        <a:xfrm>
          <a:off x="6531363" y="15426952"/>
          <a:ext cx="7795134" cy="1737098"/>
        </a:xfrm>
        <a:prstGeom prst="rect">
          <a:avLst/>
        </a:prstGeom>
        <a:solidFill>
          <a:schemeClr val="bg1"/>
        </a:solidFill>
        <a:ln>
          <a:noFill/>
        </a:ln>
        <a:effectLst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b="1">
              <a:solidFill>
                <a:schemeClr val="accent1">
                  <a:lumMod val="75000"/>
                </a:schemeClr>
              </a:solidFill>
              <a:effectLst/>
            </a:rPr>
            <a:t>4. RAKENNUSSELOSTUS</a:t>
          </a:r>
        </a:p>
        <a:p>
          <a:r>
            <a:rPr lang="fi-FI" sz="1100"/>
            <a:t>Rakennusselostus on samassa taulukossa</a:t>
          </a:r>
          <a:r>
            <a:rPr lang="fi-FI" sz="1100" baseline="0"/>
            <a:t> </a:t>
          </a:r>
          <a:r>
            <a:rPr lang="fi-FI" sz="1100"/>
            <a:t>kustannusarviolomakkeen kanssa.</a:t>
          </a:r>
          <a:r>
            <a:rPr lang="fi-FI" sz="1100" baseline="0"/>
            <a:t> Se </a:t>
          </a:r>
          <a:r>
            <a:rPr lang="fi-FI" sz="1100"/>
            <a:t>laaditaan jokaista rakennuskohdetta varten yksilöllisesti.  </a:t>
          </a:r>
        </a:p>
        <a:p>
          <a:endParaRPr lang="fi-FI" sz="1100" b="1" baseline="0"/>
        </a:p>
        <a:p>
          <a:r>
            <a:rPr lang="fi-FI" sz="1100" b="1"/>
            <a:t>Rakennusselostuksessa kuvataan</a:t>
          </a:r>
          <a:r>
            <a:rPr lang="fi-FI" sz="1100" b="1" baseline="0"/>
            <a:t> rakennettavaksi aiottua rakennusta ja rakennushankkeen lopputulosta. Siinä kuvataan esimerkiksi työtavat, rakentamisessa käytettävät </a:t>
          </a:r>
          <a:r>
            <a:rPr lang="fi-FI" sz="1100" b="1"/>
            <a:t>materiaalit, mitat, pintakäsittelyt,</a:t>
          </a:r>
          <a:r>
            <a:rPr lang="fi-FI" sz="1100" b="1" baseline="0"/>
            <a:t> </a:t>
          </a:r>
          <a:r>
            <a:rPr lang="fi-FI" sz="1100" b="1"/>
            <a:t>rakentamistapa, lämmitys-, ilmanvaihto- ja jäähdytysjärjestelmät sekä niiden laitteet ja säätölaitteet.</a:t>
          </a:r>
        </a:p>
        <a:p>
          <a:endParaRPr lang="fi-FI" sz="1100" baseline="0"/>
        </a:p>
        <a:p>
          <a:r>
            <a:rPr lang="fi-FI" sz="1100" baseline="0"/>
            <a:t>Rakennusselostus tehdään niin tarkaksi, että </a:t>
          </a:r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kaikki hankkeen laatija</a:t>
          </a:r>
          <a:r>
            <a:rPr lang="fi-FI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ja rahoittaja</a:t>
          </a:r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ymmärtävät  sisällön ja toteutuksen.</a:t>
          </a:r>
        </a:p>
        <a:p>
          <a:endParaRPr lang="fi-FI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fi-FI" sz="1100"/>
        </a:p>
        <a:p>
          <a:endParaRPr lang="fi-FI" sz="1100"/>
        </a:p>
      </xdr:txBody>
    </xdr:sp>
    <xdr:clientData/>
  </xdr:twoCellAnchor>
  <xdr:twoCellAnchor>
    <xdr:from>
      <xdr:col>3</xdr:col>
      <xdr:colOff>525086</xdr:colOff>
      <xdr:row>136</xdr:row>
      <xdr:rowOff>154838</xdr:rowOff>
    </xdr:from>
    <xdr:to>
      <xdr:col>5</xdr:col>
      <xdr:colOff>1316719</xdr:colOff>
      <xdr:row>139</xdr:row>
      <xdr:rowOff>70385</xdr:rowOff>
    </xdr:to>
    <xdr:sp macro="" textlink="">
      <xdr:nvSpPr>
        <xdr:cNvPr id="19" name="Tekstiruutu 18">
          <a:extLst>
            <a:ext uri="{FF2B5EF4-FFF2-40B4-BE49-F238E27FC236}">
              <a16:creationId xmlns:a16="http://schemas.microsoft.com/office/drawing/2014/main" id="{9EC0C535-BE3C-4CE3-801A-F77231293351}"/>
            </a:ext>
          </a:extLst>
        </xdr:cNvPr>
        <xdr:cNvSpPr txBox="1"/>
      </xdr:nvSpPr>
      <xdr:spPr>
        <a:xfrm>
          <a:off x="7560886" y="25846938"/>
          <a:ext cx="4442883" cy="467997"/>
        </a:xfrm>
        <a:prstGeom prst="rect">
          <a:avLst/>
        </a:prstGeom>
        <a:solidFill>
          <a:srgbClr val="FFFF00"/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600"/>
            <a:t>Talkootyön koonti (vastikkeeton työ)</a:t>
          </a:r>
        </a:p>
      </xdr:txBody>
    </xdr:sp>
    <xdr:clientData/>
  </xdr:twoCellAnchor>
  <xdr:twoCellAnchor>
    <xdr:from>
      <xdr:col>1</xdr:col>
      <xdr:colOff>56465</xdr:colOff>
      <xdr:row>74</xdr:row>
      <xdr:rowOff>83816</xdr:rowOff>
    </xdr:from>
    <xdr:to>
      <xdr:col>2</xdr:col>
      <xdr:colOff>768736</xdr:colOff>
      <xdr:row>93</xdr:row>
      <xdr:rowOff>126352</xdr:rowOff>
    </xdr:to>
    <xdr:sp macro="" textlink="">
      <xdr:nvSpPr>
        <xdr:cNvPr id="20" name="Tekstiruutu 19">
          <a:extLst>
            <a:ext uri="{FF2B5EF4-FFF2-40B4-BE49-F238E27FC236}">
              <a16:creationId xmlns:a16="http://schemas.microsoft.com/office/drawing/2014/main" id="{0C026C5B-AE4D-479A-8ED0-F34AD8CD2AD7}"/>
            </a:ext>
          </a:extLst>
        </xdr:cNvPr>
        <xdr:cNvSpPr txBox="1"/>
      </xdr:nvSpPr>
      <xdr:spPr>
        <a:xfrm>
          <a:off x="164415" y="14060166"/>
          <a:ext cx="5563671" cy="3541386"/>
        </a:xfrm>
        <a:prstGeom prst="rect">
          <a:avLst/>
        </a:prstGeom>
        <a:ln>
          <a:noFill/>
        </a:ln>
        <a:effectLst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100" b="1">
              <a:solidFill>
                <a:sysClr val="windowText" lastClr="000000"/>
              </a:solidFill>
            </a:rPr>
            <a:t>Päätaulukko</a:t>
          </a:r>
          <a:r>
            <a:rPr lang="fi-FI" sz="1100" b="0" baseline="0">
              <a:solidFill>
                <a:sysClr val="windowText" lastClr="000000"/>
              </a:solidFill>
            </a:rPr>
            <a:t> muodostuu kolmesta osasta. Soluihin täytetään kulloisesenkin rakennushankkeen kustannukset, vastikkeeton työ sekä rakennusselostus.</a:t>
          </a:r>
        </a:p>
        <a:p>
          <a:endParaRPr lang="fi-FI" sz="1100" b="0" baseline="0">
            <a:solidFill>
              <a:sysClr val="windowText" lastClr="000000"/>
            </a:solidFill>
          </a:endParaRPr>
        </a:p>
        <a:p>
          <a:r>
            <a:rPr lang="fi-FI" sz="1100" b="1">
              <a:solidFill>
                <a:schemeClr val="accent1">
                  <a:lumMod val="75000"/>
                </a:schemeClr>
              </a:solidFill>
            </a:rPr>
            <a:t>2. KUSTANNUSARVIO</a:t>
          </a:r>
        </a:p>
        <a:p>
          <a:r>
            <a:rPr lang="fi-FI" sz="1100"/>
            <a:t>Täytä taulukkoa tarvittaviin kohtiin:</a:t>
          </a:r>
        </a:p>
        <a:p>
          <a:r>
            <a:rPr lang="fi-FI" sz="1100" b="1"/>
            <a:t>- Selite </a:t>
          </a:r>
          <a:r>
            <a:rPr lang="fi-FI" sz="1100" b="0"/>
            <a:t>(</a:t>
          </a:r>
          <a:r>
            <a:rPr lang="fi-FI" sz="1100"/>
            <a:t>Kirjoita mistä materiaalista on kyse. Esim. Murske 0-16 mm,</a:t>
          </a:r>
          <a:r>
            <a:rPr lang="fi-FI" sz="1100" baseline="0"/>
            <a:t> </a:t>
          </a:r>
          <a:r>
            <a:rPr lang="fi-FI" sz="1100"/>
            <a:t>Runkopuutavara mitallistettu 58x98 mm)</a:t>
          </a:r>
        </a:p>
        <a:p>
          <a:r>
            <a:rPr lang="fi-FI" sz="1100" b="1"/>
            <a:t>- Määrä</a:t>
          </a:r>
          <a:r>
            <a:rPr lang="fi-FI" sz="1100" b="0" baseline="0"/>
            <a:t> (Kirjoita hankittavan materiaalin määrä</a:t>
          </a:r>
        </a:p>
        <a:p>
          <a:r>
            <a:rPr lang="fi-FI" sz="1100" b="1"/>
            <a:t>- Yksikkö</a:t>
          </a:r>
          <a:r>
            <a:rPr lang="fi-FI" sz="1100"/>
            <a:t> (Valitse avautuvasta valikosta oikea yksikkö) </a:t>
          </a:r>
        </a:p>
        <a:p>
          <a:r>
            <a:rPr lang="fi-FI" sz="1100" b="1"/>
            <a:t>- á hinta €  </a:t>
          </a:r>
          <a:r>
            <a:rPr lang="fi-FI" sz="1100" b="0"/>
            <a:t>(Kirjoita hankittavan</a:t>
          </a:r>
          <a:r>
            <a:rPr lang="fi-FI" sz="1100" b="0" baseline="0"/>
            <a:t> tuotteen á hinta)</a:t>
          </a:r>
        </a:p>
        <a:p>
          <a:r>
            <a:rPr lang="fi-FI" sz="1100" b="0"/>
            <a:t>- </a:t>
          </a:r>
          <a:r>
            <a:rPr lang="fi-FI" sz="1100" b="1"/>
            <a:t>Muista merkitä onko</a:t>
          </a:r>
          <a:r>
            <a:rPr lang="fi-FI" sz="1100" b="1" baseline="0"/>
            <a:t> hinnoissa ALV mukana vai ei. </a:t>
          </a:r>
          <a:r>
            <a:rPr lang="fi-FI" sz="1100" b="0" baseline="0"/>
            <a:t>Jos käytät viitekustannuksia, niin ne ovat alvittomia.</a:t>
          </a:r>
          <a:endParaRPr lang="fi-FI" sz="1100" b="0"/>
        </a:p>
        <a:p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Jos kohteesta on pyydetty tarjouksia, niin täytä hintavertailun</a:t>
          </a:r>
          <a:r>
            <a:rPr lang="fi-FI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perusteella </a:t>
          </a:r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valitun urakoitsijan antama hinta kohtaan </a:t>
          </a:r>
          <a:r>
            <a:rPr lang="fi-FI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Urakkahinta</a:t>
          </a:r>
          <a:r>
            <a:rPr lang="fi-FI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r>
            <a:rPr lang="fi-FI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Joskus urakkaa</a:t>
          </a:r>
          <a:r>
            <a:rPr lang="fi-FI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ei tarjota vaan urakoitsija tarjoaa työn tuntihinnalla, kirjaa tämä kohtaan </a:t>
          </a:r>
          <a:r>
            <a:rPr lang="fi-FI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Tuntityönä tehdyt tunnit ja tuntiveloitushinta</a:t>
          </a:r>
          <a:r>
            <a:rPr lang="fi-FI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endParaRPr lang="fi-FI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Taulukko laskee materiaalit, urakat/tuntityön</a:t>
          </a:r>
          <a:r>
            <a:rPr lang="fi-FI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ja </a:t>
          </a:r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vastikkeettoman työn arvon</a:t>
          </a:r>
          <a:r>
            <a:rPr lang="fi-FI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sekä tekee niistä </a:t>
          </a:r>
          <a:r>
            <a:rPr lang="fi-FI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rahoitussuunnitelman</a:t>
          </a:r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taulukon</a:t>
          </a:r>
          <a:r>
            <a:rPr lang="fi-FI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alaosaan</a:t>
          </a:r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i-FI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i-FI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i-FI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                                                  </a:t>
          </a:r>
        </a:p>
        <a:p>
          <a:endParaRPr lang="fi-FI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fi-FI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fi-FI" sz="1100"/>
        </a:p>
      </xdr:txBody>
    </xdr:sp>
    <xdr:clientData/>
  </xdr:twoCellAnchor>
  <xdr:twoCellAnchor editAs="oneCell">
    <xdr:from>
      <xdr:col>1</xdr:col>
      <xdr:colOff>26612</xdr:colOff>
      <xdr:row>154</xdr:row>
      <xdr:rowOff>63984</xdr:rowOff>
    </xdr:from>
    <xdr:to>
      <xdr:col>2</xdr:col>
      <xdr:colOff>1096283</xdr:colOff>
      <xdr:row>156</xdr:row>
      <xdr:rowOff>68683</xdr:rowOff>
    </xdr:to>
    <xdr:pic>
      <xdr:nvPicPr>
        <xdr:cNvPr id="21" name="Kuva 20">
          <a:extLst>
            <a:ext uri="{FF2B5EF4-FFF2-40B4-BE49-F238E27FC236}">
              <a16:creationId xmlns:a16="http://schemas.microsoft.com/office/drawing/2014/main" id="{28965243-147C-4F01-A5B7-28B3EC65D8A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/>
        <a:srcRect r="32549"/>
        <a:stretch/>
      </xdr:blipFill>
      <xdr:spPr>
        <a:xfrm>
          <a:off x="131387" y="28667559"/>
          <a:ext cx="5914721" cy="363474"/>
        </a:xfrm>
        <a:prstGeom prst="rect">
          <a:avLst/>
        </a:prstGeom>
      </xdr:spPr>
    </xdr:pic>
    <xdr:clientData/>
  </xdr:twoCellAnchor>
  <xdr:twoCellAnchor>
    <xdr:from>
      <xdr:col>1</xdr:col>
      <xdr:colOff>246912</xdr:colOff>
      <xdr:row>45</xdr:row>
      <xdr:rowOff>84593</xdr:rowOff>
    </xdr:from>
    <xdr:to>
      <xdr:col>2</xdr:col>
      <xdr:colOff>715641</xdr:colOff>
      <xdr:row>49</xdr:row>
      <xdr:rowOff>133400</xdr:rowOff>
    </xdr:to>
    <xdr:grpSp>
      <xdr:nvGrpSpPr>
        <xdr:cNvPr id="22" name="Ryhmä 21">
          <a:extLst>
            <a:ext uri="{FF2B5EF4-FFF2-40B4-BE49-F238E27FC236}">
              <a16:creationId xmlns:a16="http://schemas.microsoft.com/office/drawing/2014/main" id="{E8E6C304-590D-4394-A163-DD2EB2F724E7}"/>
            </a:ext>
          </a:extLst>
        </xdr:cNvPr>
        <xdr:cNvGrpSpPr/>
      </xdr:nvGrpSpPr>
      <xdr:grpSpPr>
        <a:xfrm>
          <a:off x="351687" y="8584068"/>
          <a:ext cx="5313779" cy="769532"/>
          <a:chOff x="126461" y="8819490"/>
          <a:chExt cx="5328901" cy="759703"/>
        </a:xfrm>
      </xdr:grpSpPr>
      <xdr:sp macro="" textlink="">
        <xdr:nvSpPr>
          <xdr:cNvPr id="23" name="Nuoli: Kaareva ylös 22">
            <a:extLst>
              <a:ext uri="{FF2B5EF4-FFF2-40B4-BE49-F238E27FC236}">
                <a16:creationId xmlns:a16="http://schemas.microsoft.com/office/drawing/2014/main" id="{AC583147-9F7D-EACC-B7D1-D97D4B2B2837}"/>
              </a:ext>
            </a:extLst>
          </xdr:cNvPr>
          <xdr:cNvSpPr/>
        </xdr:nvSpPr>
        <xdr:spPr>
          <a:xfrm>
            <a:off x="856140" y="9095481"/>
            <a:ext cx="2412225" cy="440234"/>
          </a:xfrm>
          <a:prstGeom prst="curvedUpArrow">
            <a:avLst/>
          </a:prstGeom>
          <a:solidFill>
            <a:schemeClr val="accent2">
              <a:lumMod val="60000"/>
              <a:lumOff val="40000"/>
            </a:schemeClr>
          </a:solidFill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i-FI" sz="1100">
              <a:solidFill>
                <a:schemeClr val="tx1"/>
              </a:solidFill>
            </a:endParaRPr>
          </a:p>
        </xdr:txBody>
      </xdr:sp>
      <xdr:pic>
        <xdr:nvPicPr>
          <xdr:cNvPr id="24" name="Kuva 23">
            <a:extLst>
              <a:ext uri="{FF2B5EF4-FFF2-40B4-BE49-F238E27FC236}">
                <a16:creationId xmlns:a16="http://schemas.microsoft.com/office/drawing/2014/main" id="{4F9B396E-73C7-FAE0-2D73-34F6C83B7DB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0"/>
          <a:stretch>
            <a:fillRect/>
          </a:stretch>
        </xdr:blipFill>
        <xdr:spPr>
          <a:xfrm>
            <a:off x="126461" y="8819490"/>
            <a:ext cx="5328901" cy="239743"/>
          </a:xfrm>
          <a:prstGeom prst="rect">
            <a:avLst/>
          </a:prstGeom>
        </xdr:spPr>
      </xdr:pic>
      <xdr:sp macro="" textlink="">
        <xdr:nvSpPr>
          <xdr:cNvPr id="25" name="Nuoli: Kaareva ylös 24">
            <a:extLst>
              <a:ext uri="{FF2B5EF4-FFF2-40B4-BE49-F238E27FC236}">
                <a16:creationId xmlns:a16="http://schemas.microsoft.com/office/drawing/2014/main" id="{305D0441-8199-773B-9B30-E11D6CF5AF60}"/>
              </a:ext>
            </a:extLst>
          </xdr:cNvPr>
          <xdr:cNvSpPr/>
        </xdr:nvSpPr>
        <xdr:spPr>
          <a:xfrm>
            <a:off x="657447" y="9087179"/>
            <a:ext cx="3412258" cy="475512"/>
          </a:xfrm>
          <a:prstGeom prst="curvedUpArrow">
            <a:avLst/>
          </a:prstGeom>
          <a:solidFill>
            <a:schemeClr val="accent2">
              <a:lumMod val="60000"/>
              <a:lumOff val="40000"/>
            </a:schemeClr>
          </a:solidFill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i-FI" sz="1100">
              <a:solidFill>
                <a:schemeClr val="tx1"/>
              </a:solidFill>
            </a:endParaRPr>
          </a:p>
        </xdr:txBody>
      </xdr:sp>
      <xdr:sp macro="" textlink="">
        <xdr:nvSpPr>
          <xdr:cNvPr id="26" name="Nuoli: Kaareva ylös 25">
            <a:extLst>
              <a:ext uri="{FF2B5EF4-FFF2-40B4-BE49-F238E27FC236}">
                <a16:creationId xmlns:a16="http://schemas.microsoft.com/office/drawing/2014/main" id="{AED42993-3481-E8CB-7BA1-782EE4F13D46}"/>
              </a:ext>
            </a:extLst>
          </xdr:cNvPr>
          <xdr:cNvSpPr/>
        </xdr:nvSpPr>
        <xdr:spPr>
          <a:xfrm>
            <a:off x="469122" y="9094281"/>
            <a:ext cx="4419212" cy="484912"/>
          </a:xfrm>
          <a:prstGeom prst="curvedUpArrow">
            <a:avLst/>
          </a:prstGeom>
          <a:solidFill>
            <a:schemeClr val="accent2">
              <a:lumMod val="60000"/>
              <a:lumOff val="40000"/>
            </a:schemeClr>
          </a:solidFill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i-FI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1</xdr:col>
      <xdr:colOff>134717</xdr:colOff>
      <xdr:row>159</xdr:row>
      <xdr:rowOff>131678</xdr:rowOff>
    </xdr:from>
    <xdr:to>
      <xdr:col>1</xdr:col>
      <xdr:colOff>4593475</xdr:colOff>
      <xdr:row>162</xdr:row>
      <xdr:rowOff>37269</xdr:rowOff>
    </xdr:to>
    <xdr:sp macro="" textlink="">
      <xdr:nvSpPr>
        <xdr:cNvPr id="27" name="Tekstiruutu 26">
          <a:extLst>
            <a:ext uri="{FF2B5EF4-FFF2-40B4-BE49-F238E27FC236}">
              <a16:creationId xmlns:a16="http://schemas.microsoft.com/office/drawing/2014/main" id="{8A4F9B29-CF53-4A7E-8929-B4E58F4016CC}"/>
            </a:ext>
          </a:extLst>
        </xdr:cNvPr>
        <xdr:cNvSpPr txBox="1"/>
      </xdr:nvSpPr>
      <xdr:spPr>
        <a:xfrm>
          <a:off x="239492" y="29640128"/>
          <a:ext cx="4458758" cy="448516"/>
        </a:xfrm>
        <a:prstGeom prst="rect">
          <a:avLst/>
        </a:prstGeom>
        <a:solidFill>
          <a:srgbClr val="FFFF00"/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600"/>
            <a:t>Rakennusselostus koonti</a:t>
          </a:r>
        </a:p>
      </xdr:txBody>
    </xdr:sp>
    <xdr:clientData/>
  </xdr:twoCellAnchor>
  <xdr:twoCellAnchor editAs="oneCell">
    <xdr:from>
      <xdr:col>1</xdr:col>
      <xdr:colOff>134732</xdr:colOff>
      <xdr:row>174</xdr:row>
      <xdr:rowOff>94118</xdr:rowOff>
    </xdr:from>
    <xdr:to>
      <xdr:col>3</xdr:col>
      <xdr:colOff>391366</xdr:colOff>
      <xdr:row>175</xdr:row>
      <xdr:rowOff>65120</xdr:rowOff>
    </xdr:to>
    <xdr:pic>
      <xdr:nvPicPr>
        <xdr:cNvPr id="28" name="Kuva 27">
          <a:extLst>
            <a:ext uri="{FF2B5EF4-FFF2-40B4-BE49-F238E27FC236}">
              <a16:creationId xmlns:a16="http://schemas.microsoft.com/office/drawing/2014/main" id="{3B98B880-AE15-43CF-9CC7-FFDC00E563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242682" y="34441268"/>
          <a:ext cx="7184484" cy="301202"/>
        </a:xfrm>
        <a:prstGeom prst="rect">
          <a:avLst/>
        </a:prstGeom>
      </xdr:spPr>
    </xdr:pic>
    <xdr:clientData/>
  </xdr:twoCellAnchor>
  <xdr:twoCellAnchor>
    <xdr:from>
      <xdr:col>1</xdr:col>
      <xdr:colOff>133647</xdr:colOff>
      <xdr:row>95</xdr:row>
      <xdr:rowOff>78004</xdr:rowOff>
    </xdr:from>
    <xdr:to>
      <xdr:col>1</xdr:col>
      <xdr:colOff>2513635</xdr:colOff>
      <xdr:row>97</xdr:row>
      <xdr:rowOff>154203</xdr:rowOff>
    </xdr:to>
    <xdr:sp macro="" textlink="">
      <xdr:nvSpPr>
        <xdr:cNvPr id="29" name="Tekstiruutu 28">
          <a:extLst>
            <a:ext uri="{FF2B5EF4-FFF2-40B4-BE49-F238E27FC236}">
              <a16:creationId xmlns:a16="http://schemas.microsoft.com/office/drawing/2014/main" id="{4E53058F-4E92-4C99-AB0B-2CC3603C690E}"/>
            </a:ext>
          </a:extLst>
        </xdr:cNvPr>
        <xdr:cNvSpPr txBox="1"/>
      </xdr:nvSpPr>
      <xdr:spPr>
        <a:xfrm>
          <a:off x="241597" y="17921504"/>
          <a:ext cx="2379988" cy="444499"/>
        </a:xfrm>
        <a:prstGeom prst="rect">
          <a:avLst/>
        </a:prstGeom>
        <a:solidFill>
          <a:schemeClr val="accent2"/>
        </a:solidFill>
        <a:ln/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r>
            <a:rPr lang="fi-FI" sz="1600" b="0">
              <a:solidFill>
                <a:schemeClr val="bg1"/>
              </a:solidFill>
              <a:latin typeface="+mn-lt"/>
              <a:ea typeface="+mn-ea"/>
              <a:cs typeface="+mn-cs"/>
            </a:rPr>
            <a:t>5. Rahoitussuunnitelma</a:t>
          </a:r>
        </a:p>
      </xdr:txBody>
    </xdr:sp>
    <xdr:clientData/>
  </xdr:twoCellAnchor>
  <xdr:twoCellAnchor>
    <xdr:from>
      <xdr:col>2</xdr:col>
      <xdr:colOff>1549788</xdr:colOff>
      <xdr:row>90</xdr:row>
      <xdr:rowOff>172694</xdr:rowOff>
    </xdr:from>
    <xdr:to>
      <xdr:col>7</xdr:col>
      <xdr:colOff>488474</xdr:colOff>
      <xdr:row>99</xdr:row>
      <xdr:rowOff>106152</xdr:rowOff>
    </xdr:to>
    <xdr:sp macro="" textlink="">
      <xdr:nvSpPr>
        <xdr:cNvPr id="30" name="Tekstiruutu 29">
          <a:extLst>
            <a:ext uri="{FF2B5EF4-FFF2-40B4-BE49-F238E27FC236}">
              <a16:creationId xmlns:a16="http://schemas.microsoft.com/office/drawing/2014/main" id="{8C28C300-4488-4E02-8DA4-5361389C23C1}"/>
            </a:ext>
          </a:extLst>
        </xdr:cNvPr>
        <xdr:cNvSpPr txBox="1"/>
      </xdr:nvSpPr>
      <xdr:spPr>
        <a:xfrm>
          <a:off x="6509138" y="17095444"/>
          <a:ext cx="7790586" cy="1590808"/>
        </a:xfrm>
        <a:prstGeom prst="rect">
          <a:avLst/>
        </a:prstGeom>
        <a:ln>
          <a:noFill/>
        </a:ln>
        <a:effectLst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100"/>
            <a:t>Kun kustannusarviolomakkeeseen syntyy kustannuksia </a:t>
          </a:r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materiaalit tai talkootyö osioista,</a:t>
          </a:r>
          <a:endParaRPr lang="fi-FI" sz="1100"/>
        </a:p>
        <a:p>
          <a:r>
            <a:rPr lang="fi-FI" sz="1100" b="0" baseline="0"/>
            <a:t>niin</a:t>
          </a:r>
          <a:r>
            <a:rPr lang="fi-FI" sz="1100"/>
            <a:t>  </a:t>
          </a:r>
          <a:r>
            <a:rPr lang="fi-FI" sz="1100" b="1"/>
            <a:t>Rakennusselostus</a:t>
          </a:r>
          <a:r>
            <a:rPr lang="fi-FI" sz="1100"/>
            <a:t> kohtaan tulee teksti </a:t>
          </a:r>
          <a:r>
            <a:rPr lang="fi-FI" sz="1100" b="1">
              <a:solidFill>
                <a:srgbClr val="FF0000"/>
              </a:solidFill>
            </a:rPr>
            <a:t>Kirjoita tähän mitä tehdään</a:t>
          </a:r>
          <a:r>
            <a:rPr lang="fi-FI" sz="1100" b="1"/>
            <a:t>, johon kuvataan rakennustoimenpidettä.</a:t>
          </a:r>
        </a:p>
        <a:p>
          <a:endParaRPr lang="fi-FI" sz="1100"/>
        </a:p>
        <a:p>
          <a:r>
            <a:rPr lang="fi-FI" sz="1100"/>
            <a:t>Jos kustannuksia ei synny, solussa on teksti </a:t>
          </a:r>
          <a:r>
            <a:rPr lang="fi-FI" sz="1100" b="1">
              <a:solidFill>
                <a:srgbClr val="FF0000"/>
              </a:solidFill>
            </a:rPr>
            <a:t>Ei toimenpiteitä</a:t>
          </a:r>
        </a:p>
        <a:p>
          <a:endParaRPr lang="fi-FI" sz="1100"/>
        </a:p>
        <a:p>
          <a:r>
            <a:rPr lang="fi-FI" sz="1100"/>
            <a:t>Rakennuselostuksessa yksilöidään mitä kussakin kohdassa on tarkoitus tehdä. </a:t>
          </a:r>
        </a:p>
        <a:p>
          <a:r>
            <a:rPr lang="fi-FI" sz="1100"/>
            <a:t>Esim.: </a:t>
          </a:r>
          <a:r>
            <a:rPr lang="fi-FI" sz="1100" i="1"/>
            <a:t>Rakennuksen pilarianturat 8 kpl</a:t>
          </a:r>
          <a:r>
            <a:rPr lang="fi-FI" sz="1100" i="1" baseline="0"/>
            <a:t> 400 x 400 laudoitetaan, raudoitetaan harjateräksellä B500B ja valetaan lujuusluokan C20/25 betonilla.</a:t>
          </a:r>
        </a:p>
        <a:p>
          <a:endParaRPr lang="fi-FI" sz="1100" i="1"/>
        </a:p>
      </xdr:txBody>
    </xdr:sp>
    <xdr:clientData/>
  </xdr:twoCellAnchor>
  <xdr:twoCellAnchor>
    <xdr:from>
      <xdr:col>3</xdr:col>
      <xdr:colOff>1722789</xdr:colOff>
      <xdr:row>101</xdr:row>
      <xdr:rowOff>142088</xdr:rowOff>
    </xdr:from>
    <xdr:to>
      <xdr:col>7</xdr:col>
      <xdr:colOff>353976</xdr:colOff>
      <xdr:row>106</xdr:row>
      <xdr:rowOff>104655</xdr:rowOff>
    </xdr:to>
    <xdr:sp macro="" textlink="">
      <xdr:nvSpPr>
        <xdr:cNvPr id="31" name="Tekstiruutu 30">
          <a:extLst>
            <a:ext uri="{FF2B5EF4-FFF2-40B4-BE49-F238E27FC236}">
              <a16:creationId xmlns:a16="http://schemas.microsoft.com/office/drawing/2014/main" id="{F39A7ED8-94D7-41CC-87D6-31469ED62B6E}"/>
            </a:ext>
          </a:extLst>
        </xdr:cNvPr>
        <xdr:cNvSpPr txBox="1"/>
      </xdr:nvSpPr>
      <xdr:spPr>
        <a:xfrm>
          <a:off x="8758589" y="19090488"/>
          <a:ext cx="5406637" cy="883317"/>
        </a:xfrm>
        <a:prstGeom prst="rect">
          <a:avLst/>
        </a:prstGeom>
        <a:ln>
          <a:noFill/>
        </a:ln>
        <a:effectLst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100" b="1"/>
            <a:t>5. RAHOITUSSUUNNITELMA</a:t>
          </a:r>
        </a:p>
        <a:p>
          <a:r>
            <a:rPr lang="fi-FI" sz="1100"/>
            <a:t>Taulukko tekee </a:t>
          </a:r>
          <a:r>
            <a:rPr lang="fi-FI" sz="1100" b="1"/>
            <a:t>rahoitussuunnitelman</a:t>
          </a:r>
          <a:r>
            <a:rPr lang="fi-FI" sz="1100"/>
            <a:t> rahoittajan myöntämän</a:t>
          </a:r>
          <a:r>
            <a:rPr lang="fi-FI" sz="1100" baseline="0"/>
            <a:t> tukiprosentin </a:t>
          </a:r>
          <a:r>
            <a:rPr lang="fi-FI" sz="1100"/>
            <a:t>mukaan. </a:t>
          </a:r>
          <a:r>
            <a:rPr lang="fi-FI" sz="1100" b="1"/>
            <a:t>Tarkasta aina rahoittajalta myönnettävän tuen määrä! </a:t>
          </a:r>
          <a:r>
            <a:rPr lang="fi-FI" sz="1100" b="0"/>
            <a:t> Voit muuttaa</a:t>
          </a:r>
          <a:r>
            <a:rPr lang="fi-FI" sz="1100" b="0" baseline="0"/>
            <a:t> sen perusteella taulukkoon tukiprosentit.</a:t>
          </a:r>
          <a:endParaRPr lang="fi-FI" sz="1100" b="1"/>
        </a:p>
      </xdr:txBody>
    </xdr:sp>
    <xdr:clientData/>
  </xdr:twoCellAnchor>
  <xdr:twoCellAnchor>
    <xdr:from>
      <xdr:col>3</xdr:col>
      <xdr:colOff>1722789</xdr:colOff>
      <xdr:row>106</xdr:row>
      <xdr:rowOff>103347</xdr:rowOff>
    </xdr:from>
    <xdr:to>
      <xdr:col>7</xdr:col>
      <xdr:colOff>96131</xdr:colOff>
      <xdr:row>115</xdr:row>
      <xdr:rowOff>83240</xdr:rowOff>
    </xdr:to>
    <xdr:sp macro="" textlink="">
      <xdr:nvSpPr>
        <xdr:cNvPr id="32" name="Tekstiruutu 31">
          <a:extLst>
            <a:ext uri="{FF2B5EF4-FFF2-40B4-BE49-F238E27FC236}">
              <a16:creationId xmlns:a16="http://schemas.microsoft.com/office/drawing/2014/main" id="{5CAE4711-0411-4E4D-AD93-E04CEEC1594E}"/>
            </a:ext>
          </a:extLst>
        </xdr:cNvPr>
        <xdr:cNvSpPr txBox="1"/>
      </xdr:nvSpPr>
      <xdr:spPr>
        <a:xfrm>
          <a:off x="8758589" y="19972497"/>
          <a:ext cx="5148792" cy="1637243"/>
        </a:xfrm>
        <a:prstGeom prst="rect">
          <a:avLst/>
        </a:prstGeom>
        <a:ln>
          <a:noFill/>
        </a:ln>
        <a:effectLst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100"/>
            <a:t>Taulukosta</a:t>
          </a:r>
          <a:r>
            <a:rPr lang="fi-FI" sz="1100" baseline="0"/>
            <a:t> näkee miten yksityinen raha jakaantuu talkootyöksi ja yksityiseen rahaan.</a:t>
          </a:r>
        </a:p>
        <a:p>
          <a:r>
            <a:rPr lang="fi-FI" sz="1100" baseline="0"/>
            <a:t>Jos arvioitua vastikkeetonta työtä on enemmän kuin rahoitussuunnitelmassa, solu muuttuu mustaksi. Sinun tulee silloin ottaa yhteyttä rahoittajaan ja keskustella talkootöiden sisällöstä talkootyösuunnitelmassa.</a:t>
          </a:r>
        </a:p>
        <a:p>
          <a:endParaRPr lang="fi-FI" sz="1100" baseline="0"/>
        </a:p>
        <a:p>
          <a:r>
            <a:rPr lang="fi-FI" sz="1100" baseline="0"/>
            <a:t>Taulukosta näkee myös paljonko tarvitaan yksityistä rahaa, jos talkootyötä ei synny riittävästi.</a:t>
          </a:r>
        </a:p>
      </xdr:txBody>
    </xdr:sp>
    <xdr:clientData/>
  </xdr:twoCellAnchor>
  <xdr:twoCellAnchor>
    <xdr:from>
      <xdr:col>1</xdr:col>
      <xdr:colOff>125645</xdr:colOff>
      <xdr:row>124</xdr:row>
      <xdr:rowOff>173776</xdr:rowOff>
    </xdr:from>
    <xdr:to>
      <xdr:col>3</xdr:col>
      <xdr:colOff>345370</xdr:colOff>
      <xdr:row>129</xdr:row>
      <xdr:rowOff>255886</xdr:rowOff>
    </xdr:to>
    <xdr:grpSp>
      <xdr:nvGrpSpPr>
        <xdr:cNvPr id="33" name="Ryhmä 32">
          <a:extLst>
            <a:ext uri="{FF2B5EF4-FFF2-40B4-BE49-F238E27FC236}">
              <a16:creationId xmlns:a16="http://schemas.microsoft.com/office/drawing/2014/main" id="{3C2CC917-4113-494F-96E8-CC171F47BD7D}"/>
            </a:ext>
          </a:extLst>
        </xdr:cNvPr>
        <xdr:cNvGrpSpPr/>
      </xdr:nvGrpSpPr>
      <xdr:grpSpPr>
        <a:xfrm>
          <a:off x="227245" y="23195701"/>
          <a:ext cx="7147575" cy="990160"/>
          <a:chOff x="133739" y="22241846"/>
          <a:chExt cx="7143510" cy="975189"/>
        </a:xfrm>
      </xdr:grpSpPr>
      <xdr:pic>
        <xdr:nvPicPr>
          <xdr:cNvPr id="34" name="Kuva 33">
            <a:extLst>
              <a:ext uri="{FF2B5EF4-FFF2-40B4-BE49-F238E27FC236}">
                <a16:creationId xmlns:a16="http://schemas.microsoft.com/office/drawing/2014/main" id="{6D230728-29CA-E4B5-05C7-E0ECDFF14CC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0"/>
          <a:stretch>
            <a:fillRect/>
          </a:stretch>
        </xdr:blipFill>
        <xdr:spPr>
          <a:xfrm>
            <a:off x="133739" y="22241846"/>
            <a:ext cx="7143510" cy="303129"/>
          </a:xfrm>
          <a:prstGeom prst="rect">
            <a:avLst/>
          </a:prstGeom>
        </xdr:spPr>
      </xdr:pic>
      <xdr:sp macro="" textlink="">
        <xdr:nvSpPr>
          <xdr:cNvPr id="35" name="Nuoli: Kaareva ylös 34">
            <a:extLst>
              <a:ext uri="{FF2B5EF4-FFF2-40B4-BE49-F238E27FC236}">
                <a16:creationId xmlns:a16="http://schemas.microsoft.com/office/drawing/2014/main" id="{AE2973D6-CD79-B845-9945-5B6184A44742}"/>
              </a:ext>
            </a:extLst>
          </xdr:cNvPr>
          <xdr:cNvSpPr/>
        </xdr:nvSpPr>
        <xdr:spPr>
          <a:xfrm>
            <a:off x="2243296" y="22656456"/>
            <a:ext cx="2883580" cy="560579"/>
          </a:xfrm>
          <a:prstGeom prst="curvedUpArrow">
            <a:avLst/>
          </a:prstGeom>
          <a:solidFill>
            <a:schemeClr val="accent2">
              <a:lumMod val="60000"/>
              <a:lumOff val="40000"/>
            </a:schemeClr>
          </a:solidFill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i-FI" sz="1100">
              <a:solidFill>
                <a:schemeClr val="tx1"/>
              </a:solidFill>
            </a:endParaRPr>
          </a:p>
        </xdr:txBody>
      </xdr:sp>
      <xdr:sp macro="" textlink="">
        <xdr:nvSpPr>
          <xdr:cNvPr id="36" name="Nuoli: Kaareva ylös 35">
            <a:extLst>
              <a:ext uri="{FF2B5EF4-FFF2-40B4-BE49-F238E27FC236}">
                <a16:creationId xmlns:a16="http://schemas.microsoft.com/office/drawing/2014/main" id="{F3469AF6-C663-3941-7F0D-9B38C9105158}"/>
              </a:ext>
            </a:extLst>
          </xdr:cNvPr>
          <xdr:cNvSpPr/>
        </xdr:nvSpPr>
        <xdr:spPr>
          <a:xfrm>
            <a:off x="1111616" y="22650893"/>
            <a:ext cx="3685231" cy="372118"/>
          </a:xfrm>
          <a:prstGeom prst="curvedUpArrow">
            <a:avLst/>
          </a:prstGeom>
          <a:solidFill>
            <a:schemeClr val="accent2">
              <a:lumMod val="60000"/>
              <a:lumOff val="40000"/>
            </a:schemeClr>
          </a:solidFill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i-FI" sz="1100">
              <a:solidFill>
                <a:schemeClr val="tx1"/>
              </a:solidFill>
            </a:endParaRPr>
          </a:p>
        </xdr:txBody>
      </xdr:sp>
    </xdr:grpSp>
    <xdr:clientData/>
  </xdr:twoCellAnchor>
  <xdr:twoCellAnchor editAs="oneCell">
    <xdr:from>
      <xdr:col>3</xdr:col>
      <xdr:colOff>545584</xdr:colOff>
      <xdr:row>152</xdr:row>
      <xdr:rowOff>77150</xdr:rowOff>
    </xdr:from>
    <xdr:to>
      <xdr:col>7</xdr:col>
      <xdr:colOff>334861</xdr:colOff>
      <xdr:row>154</xdr:row>
      <xdr:rowOff>65444</xdr:rowOff>
    </xdr:to>
    <xdr:pic>
      <xdr:nvPicPr>
        <xdr:cNvPr id="38" name="Kuva 37">
          <a:extLst>
            <a:ext uri="{FF2B5EF4-FFF2-40B4-BE49-F238E27FC236}">
              <a16:creationId xmlns:a16="http://schemas.microsoft.com/office/drawing/2014/main" id="{EC0BD26B-66AB-4248-B074-126AC08E2E6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/>
        <a:srcRect r="18871"/>
        <a:stretch/>
      </xdr:blipFill>
      <xdr:spPr>
        <a:xfrm>
          <a:off x="7575034" y="28318775"/>
          <a:ext cx="6558377" cy="353419"/>
        </a:xfrm>
        <a:prstGeom prst="rect">
          <a:avLst/>
        </a:prstGeom>
      </xdr:spPr>
    </xdr:pic>
    <xdr:clientData/>
  </xdr:twoCellAnchor>
  <xdr:twoCellAnchor>
    <xdr:from>
      <xdr:col>5</xdr:col>
      <xdr:colOff>2086137</xdr:colOff>
      <xdr:row>152</xdr:row>
      <xdr:rowOff>123146</xdr:rowOff>
    </xdr:from>
    <xdr:to>
      <xdr:col>7</xdr:col>
      <xdr:colOff>170091</xdr:colOff>
      <xdr:row>154</xdr:row>
      <xdr:rowOff>66220</xdr:rowOff>
    </xdr:to>
    <xdr:sp macro="" textlink="">
      <xdr:nvSpPr>
        <xdr:cNvPr id="39" name="Suorakulmio 38">
          <a:extLst>
            <a:ext uri="{FF2B5EF4-FFF2-40B4-BE49-F238E27FC236}">
              <a16:creationId xmlns:a16="http://schemas.microsoft.com/office/drawing/2014/main" id="{44712D2E-0D18-4EC9-B4A4-79C385E20B83}"/>
            </a:ext>
          </a:extLst>
        </xdr:cNvPr>
        <xdr:cNvSpPr/>
      </xdr:nvSpPr>
      <xdr:spPr>
        <a:xfrm>
          <a:off x="12763662" y="28364771"/>
          <a:ext cx="1208154" cy="305024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  <xdr:twoCellAnchor>
    <xdr:from>
      <xdr:col>1</xdr:col>
      <xdr:colOff>4029990</xdr:colOff>
      <xdr:row>154</xdr:row>
      <xdr:rowOff>96367</xdr:rowOff>
    </xdr:from>
    <xdr:to>
      <xdr:col>2</xdr:col>
      <xdr:colOff>817338</xdr:colOff>
      <xdr:row>156</xdr:row>
      <xdr:rowOff>55227</xdr:rowOff>
    </xdr:to>
    <xdr:sp macro="" textlink="">
      <xdr:nvSpPr>
        <xdr:cNvPr id="40" name="Suorakulmio 39">
          <a:extLst>
            <a:ext uri="{FF2B5EF4-FFF2-40B4-BE49-F238E27FC236}">
              <a16:creationId xmlns:a16="http://schemas.microsoft.com/office/drawing/2014/main" id="{6FC279FF-FB28-49EC-A63B-4D953E66FE8D}"/>
            </a:ext>
          </a:extLst>
        </xdr:cNvPr>
        <xdr:cNvSpPr/>
      </xdr:nvSpPr>
      <xdr:spPr>
        <a:xfrm>
          <a:off x="4134765" y="28699942"/>
          <a:ext cx="1635573" cy="320810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  <xdr:twoCellAnchor>
    <xdr:from>
      <xdr:col>2</xdr:col>
      <xdr:colOff>993410</xdr:colOff>
      <xdr:row>174</xdr:row>
      <xdr:rowOff>94090</xdr:rowOff>
    </xdr:from>
    <xdr:to>
      <xdr:col>3</xdr:col>
      <xdr:colOff>324316</xdr:colOff>
      <xdr:row>175</xdr:row>
      <xdr:rowOff>67316</xdr:rowOff>
    </xdr:to>
    <xdr:sp macro="" textlink="">
      <xdr:nvSpPr>
        <xdr:cNvPr id="41" name="Suorakulmio 40">
          <a:extLst>
            <a:ext uri="{FF2B5EF4-FFF2-40B4-BE49-F238E27FC236}">
              <a16:creationId xmlns:a16="http://schemas.microsoft.com/office/drawing/2014/main" id="{B34DF87F-8FF4-4511-B7F8-EC83533D4CD3}"/>
            </a:ext>
          </a:extLst>
        </xdr:cNvPr>
        <xdr:cNvSpPr/>
      </xdr:nvSpPr>
      <xdr:spPr>
        <a:xfrm>
          <a:off x="5952760" y="34441240"/>
          <a:ext cx="1407356" cy="303426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  <xdr:twoCellAnchor>
    <xdr:from>
      <xdr:col>3</xdr:col>
      <xdr:colOff>2000250</xdr:colOff>
      <xdr:row>11</xdr:row>
      <xdr:rowOff>95249</xdr:rowOff>
    </xdr:from>
    <xdr:to>
      <xdr:col>7</xdr:col>
      <xdr:colOff>139247</xdr:colOff>
      <xdr:row>15</xdr:row>
      <xdr:rowOff>124252</xdr:rowOff>
    </xdr:to>
    <xdr:sp macro="" textlink="">
      <xdr:nvSpPr>
        <xdr:cNvPr id="42" name="Tekstiruutu 41">
          <a:extLst>
            <a:ext uri="{FF2B5EF4-FFF2-40B4-BE49-F238E27FC236}">
              <a16:creationId xmlns:a16="http://schemas.microsoft.com/office/drawing/2014/main" id="{E5A2BFE9-BDDC-4E1E-BA31-1EB12FDB7CAC}"/>
            </a:ext>
          </a:extLst>
        </xdr:cNvPr>
        <xdr:cNvSpPr txBox="1"/>
      </xdr:nvSpPr>
      <xdr:spPr>
        <a:xfrm>
          <a:off x="9036050" y="2298699"/>
          <a:ext cx="4914447" cy="76560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100"/>
            <a:t>Jos koontilomakkeissa pitkä teksti menee solun reunan yli, niin valitse valintanauhalta</a:t>
          </a:r>
        </a:p>
        <a:p>
          <a:r>
            <a:rPr lang="fi-FI" sz="1100" b="1"/>
            <a:t>Aloitus</a:t>
          </a:r>
          <a:r>
            <a:rPr lang="fi-FI" sz="1100" b="1" baseline="0"/>
            <a:t> -&gt; Rivitä teksti</a:t>
          </a:r>
          <a:endParaRPr lang="fi-FI" sz="1100" b="1"/>
        </a:p>
      </xdr:txBody>
    </xdr:sp>
    <xdr:clientData/>
  </xdr:twoCellAnchor>
  <xdr:twoCellAnchor>
    <xdr:from>
      <xdr:col>3</xdr:col>
      <xdr:colOff>2038291</xdr:colOff>
      <xdr:row>16</xdr:row>
      <xdr:rowOff>60126</xdr:rowOff>
    </xdr:from>
    <xdr:to>
      <xdr:col>7</xdr:col>
      <xdr:colOff>298410</xdr:colOff>
      <xdr:row>22</xdr:row>
      <xdr:rowOff>136071</xdr:rowOff>
    </xdr:to>
    <xdr:grpSp>
      <xdr:nvGrpSpPr>
        <xdr:cNvPr id="43" name="Ryhmä 42">
          <a:extLst>
            <a:ext uri="{FF2B5EF4-FFF2-40B4-BE49-F238E27FC236}">
              <a16:creationId xmlns:a16="http://schemas.microsoft.com/office/drawing/2014/main" id="{8F6610EC-2484-403B-B841-1A4E1F9DF9BA}"/>
            </a:ext>
          </a:extLst>
        </xdr:cNvPr>
        <xdr:cNvGrpSpPr/>
      </xdr:nvGrpSpPr>
      <xdr:grpSpPr>
        <a:xfrm>
          <a:off x="9067741" y="3146226"/>
          <a:ext cx="5029219" cy="1161795"/>
          <a:chOff x="9127613" y="3192944"/>
          <a:chExt cx="5036476" cy="1134127"/>
        </a:xfrm>
      </xdr:grpSpPr>
      <xdr:pic>
        <xdr:nvPicPr>
          <xdr:cNvPr id="44" name="Kuva 43">
            <a:extLst>
              <a:ext uri="{FF2B5EF4-FFF2-40B4-BE49-F238E27FC236}">
                <a16:creationId xmlns:a16="http://schemas.microsoft.com/office/drawing/2014/main" id="{55665CD4-5EB5-EAA5-867C-C8CBC16AAEA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1"/>
          <a:stretch>
            <a:fillRect/>
          </a:stretch>
        </xdr:blipFill>
        <xdr:spPr>
          <a:xfrm>
            <a:off x="9127613" y="3289253"/>
            <a:ext cx="5036476" cy="1037818"/>
          </a:xfrm>
          <a:prstGeom prst="rect">
            <a:avLst/>
          </a:prstGeom>
          <a:ln>
            <a:solidFill>
              <a:schemeClr val="accent1"/>
            </a:solidFill>
          </a:ln>
        </xdr:spPr>
      </xdr:pic>
      <xdr:sp macro="" textlink="">
        <xdr:nvSpPr>
          <xdr:cNvPr id="45" name="Ellipsi 44">
            <a:extLst>
              <a:ext uri="{FF2B5EF4-FFF2-40B4-BE49-F238E27FC236}">
                <a16:creationId xmlns:a16="http://schemas.microsoft.com/office/drawing/2014/main" id="{1CE789BF-88F8-3B76-7405-F505A25041E3}"/>
              </a:ext>
            </a:extLst>
          </xdr:cNvPr>
          <xdr:cNvSpPr/>
        </xdr:nvSpPr>
        <xdr:spPr>
          <a:xfrm>
            <a:off x="9561142" y="3192944"/>
            <a:ext cx="593695" cy="415696"/>
          </a:xfrm>
          <a:prstGeom prst="ellipse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i-FI" sz="1100"/>
          </a:p>
        </xdr:txBody>
      </xdr:sp>
      <xdr:sp macro="" textlink="">
        <xdr:nvSpPr>
          <xdr:cNvPr id="46" name="Ellipsi 45">
            <a:extLst>
              <a:ext uri="{FF2B5EF4-FFF2-40B4-BE49-F238E27FC236}">
                <a16:creationId xmlns:a16="http://schemas.microsoft.com/office/drawing/2014/main" id="{57D78B9E-6CD2-039D-EF37-CC898DE940F0}"/>
              </a:ext>
            </a:extLst>
          </xdr:cNvPr>
          <xdr:cNvSpPr/>
        </xdr:nvSpPr>
        <xdr:spPr>
          <a:xfrm flipH="1">
            <a:off x="13057354" y="3543497"/>
            <a:ext cx="973511" cy="372591"/>
          </a:xfrm>
          <a:prstGeom prst="ellipse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i-FI" sz="1100"/>
          </a:p>
        </xdr:txBody>
      </xdr:sp>
    </xdr:grpSp>
    <xdr:clientData/>
  </xdr:twoCellAnchor>
  <xdr:twoCellAnchor>
    <xdr:from>
      <xdr:col>2</xdr:col>
      <xdr:colOff>1157906</xdr:colOff>
      <xdr:row>35</xdr:row>
      <xdr:rowOff>169084</xdr:rowOff>
    </xdr:from>
    <xdr:to>
      <xdr:col>4</xdr:col>
      <xdr:colOff>370876</xdr:colOff>
      <xdr:row>40</xdr:row>
      <xdr:rowOff>180653</xdr:rowOff>
    </xdr:to>
    <xdr:sp macro="" textlink="">
      <xdr:nvSpPr>
        <xdr:cNvPr id="47" name="Tekstiruutu 46">
          <a:extLst>
            <a:ext uri="{FF2B5EF4-FFF2-40B4-BE49-F238E27FC236}">
              <a16:creationId xmlns:a16="http://schemas.microsoft.com/office/drawing/2014/main" id="{E9727C3A-D38B-4C41-825B-B364E6FD2F1E}"/>
            </a:ext>
          </a:extLst>
        </xdr:cNvPr>
        <xdr:cNvSpPr txBox="1"/>
      </xdr:nvSpPr>
      <xdr:spPr>
        <a:xfrm>
          <a:off x="6117256" y="6950884"/>
          <a:ext cx="3702420" cy="93231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100"/>
            <a:t>Aloita taulukon täyttäminen tästä välilehdestä.</a:t>
          </a:r>
        </a:p>
        <a:p>
          <a:r>
            <a:rPr lang="fi-FI" sz="1100"/>
            <a:t>Tähän tulevat tiedot siirtyvät suoraan koontilomakkeisiin</a:t>
          </a:r>
        </a:p>
      </xdr:txBody>
    </xdr:sp>
    <xdr:clientData/>
  </xdr:twoCellAnchor>
  <xdr:twoCellAnchor>
    <xdr:from>
      <xdr:col>1</xdr:col>
      <xdr:colOff>526489</xdr:colOff>
      <xdr:row>45</xdr:row>
      <xdr:rowOff>112458</xdr:rowOff>
    </xdr:from>
    <xdr:to>
      <xdr:col>1</xdr:col>
      <xdr:colOff>1264530</xdr:colOff>
      <xdr:row>46</xdr:row>
      <xdr:rowOff>149357</xdr:rowOff>
    </xdr:to>
    <xdr:sp macro="" textlink="">
      <xdr:nvSpPr>
        <xdr:cNvPr id="48" name="Suorakulmio 47">
          <a:extLst>
            <a:ext uri="{FF2B5EF4-FFF2-40B4-BE49-F238E27FC236}">
              <a16:creationId xmlns:a16="http://schemas.microsoft.com/office/drawing/2014/main" id="{2139AFF5-26FC-4CCF-BBF1-F2A4A778DC39}"/>
            </a:ext>
          </a:extLst>
        </xdr:cNvPr>
        <xdr:cNvSpPr/>
      </xdr:nvSpPr>
      <xdr:spPr>
        <a:xfrm>
          <a:off x="634439" y="8735758"/>
          <a:ext cx="738041" cy="221049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  <xdr:twoCellAnchor>
    <xdr:from>
      <xdr:col>1</xdr:col>
      <xdr:colOff>1189096</xdr:colOff>
      <xdr:row>62</xdr:row>
      <xdr:rowOff>102716</xdr:rowOff>
    </xdr:from>
    <xdr:to>
      <xdr:col>2</xdr:col>
      <xdr:colOff>216531</xdr:colOff>
      <xdr:row>64</xdr:row>
      <xdr:rowOff>181707</xdr:rowOff>
    </xdr:to>
    <xdr:sp macro="" textlink="">
      <xdr:nvSpPr>
        <xdr:cNvPr id="49" name="Tekstiruutu 48">
          <a:extLst>
            <a:ext uri="{FF2B5EF4-FFF2-40B4-BE49-F238E27FC236}">
              <a16:creationId xmlns:a16="http://schemas.microsoft.com/office/drawing/2014/main" id="{C5448C21-C597-47E5-B39B-823F5EC203D2}"/>
            </a:ext>
          </a:extLst>
        </xdr:cNvPr>
        <xdr:cNvSpPr txBox="1"/>
      </xdr:nvSpPr>
      <xdr:spPr>
        <a:xfrm>
          <a:off x="1293871" y="11675591"/>
          <a:ext cx="3875660" cy="440941"/>
        </a:xfrm>
        <a:prstGeom prst="rect">
          <a:avLst/>
        </a:prstGeom>
        <a:solidFill>
          <a:schemeClr val="accent2"/>
        </a:solidFill>
        <a:ln/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/>
          <a:r>
            <a:rPr lang="fi-FI" sz="1600" b="0">
              <a:solidFill>
                <a:schemeClr val="bg1"/>
              </a:solidFill>
              <a:latin typeface="+mn-lt"/>
              <a:ea typeface="+mn-ea"/>
              <a:cs typeface="+mn-cs"/>
            </a:rPr>
            <a:t>2. Kustannusarvio ja rahoitussuunnitelma</a:t>
          </a:r>
        </a:p>
      </xdr:txBody>
    </xdr:sp>
    <xdr:clientData/>
  </xdr:twoCellAnchor>
  <xdr:twoCellAnchor>
    <xdr:from>
      <xdr:col>2</xdr:col>
      <xdr:colOff>1438576</xdr:colOff>
      <xdr:row>61</xdr:row>
      <xdr:rowOff>151073</xdr:rowOff>
    </xdr:from>
    <xdr:to>
      <xdr:col>3</xdr:col>
      <xdr:colOff>1933575</xdr:colOff>
      <xdr:row>65</xdr:row>
      <xdr:rowOff>114300</xdr:rowOff>
    </xdr:to>
    <xdr:sp macro="" textlink="">
      <xdr:nvSpPr>
        <xdr:cNvPr id="50" name="Tekstiruutu 49">
          <a:extLst>
            <a:ext uri="{FF2B5EF4-FFF2-40B4-BE49-F238E27FC236}">
              <a16:creationId xmlns:a16="http://schemas.microsoft.com/office/drawing/2014/main" id="{304901E0-9803-46F9-A334-A0238847C398}"/>
            </a:ext>
          </a:extLst>
        </xdr:cNvPr>
        <xdr:cNvSpPr txBox="1"/>
      </xdr:nvSpPr>
      <xdr:spPr>
        <a:xfrm>
          <a:off x="6391576" y="11542973"/>
          <a:ext cx="2571449" cy="706177"/>
        </a:xfrm>
        <a:prstGeom prst="rect">
          <a:avLst/>
        </a:prstGeom>
        <a:solidFill>
          <a:schemeClr val="accent2"/>
        </a:solidFill>
        <a:ln/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/>
          <a:r>
            <a:rPr lang="fi-FI" sz="1600" b="0">
              <a:solidFill>
                <a:schemeClr val="bg1"/>
              </a:solidFill>
              <a:latin typeface="+mn-lt"/>
              <a:ea typeface="+mn-ea"/>
              <a:cs typeface="+mn-cs"/>
            </a:rPr>
            <a:t>3. Arvio vastikeettoman työn </a:t>
          </a:r>
        </a:p>
        <a:p>
          <a:pPr marL="0" indent="0"/>
          <a:r>
            <a:rPr lang="fi-FI" sz="1600" b="0">
              <a:solidFill>
                <a:schemeClr val="bg1"/>
              </a:solidFill>
              <a:latin typeface="+mn-lt"/>
              <a:ea typeface="+mn-ea"/>
              <a:cs typeface="+mn-cs"/>
            </a:rPr>
            <a:t>laadusta ja määrästä</a:t>
          </a:r>
        </a:p>
      </xdr:txBody>
    </xdr:sp>
    <xdr:clientData/>
  </xdr:twoCellAnchor>
  <xdr:twoCellAnchor>
    <xdr:from>
      <xdr:col>4</xdr:col>
      <xdr:colOff>772709</xdr:colOff>
      <xdr:row>62</xdr:row>
      <xdr:rowOff>101895</xdr:rowOff>
    </xdr:from>
    <xdr:to>
      <xdr:col>5</xdr:col>
      <xdr:colOff>1896077</xdr:colOff>
      <xdr:row>64</xdr:row>
      <xdr:rowOff>182527</xdr:rowOff>
    </xdr:to>
    <xdr:sp macro="" textlink="">
      <xdr:nvSpPr>
        <xdr:cNvPr id="51" name="Tekstiruutu 50">
          <a:extLst>
            <a:ext uri="{FF2B5EF4-FFF2-40B4-BE49-F238E27FC236}">
              <a16:creationId xmlns:a16="http://schemas.microsoft.com/office/drawing/2014/main" id="{05BDCAB5-23E0-4497-8E4E-6AF95337C769}"/>
            </a:ext>
          </a:extLst>
        </xdr:cNvPr>
        <xdr:cNvSpPr txBox="1"/>
      </xdr:nvSpPr>
      <xdr:spPr>
        <a:xfrm>
          <a:off x="10211984" y="11674770"/>
          <a:ext cx="2361618" cy="442582"/>
        </a:xfrm>
        <a:prstGeom prst="rect">
          <a:avLst/>
        </a:prstGeom>
        <a:solidFill>
          <a:schemeClr val="accent2"/>
        </a:solidFill>
        <a:ln/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/>
          <a:r>
            <a:rPr lang="fi-FI" sz="1600" b="0">
              <a:solidFill>
                <a:schemeClr val="bg1"/>
              </a:solidFill>
              <a:latin typeface="+mn-lt"/>
              <a:ea typeface="+mn-ea"/>
              <a:cs typeface="+mn-cs"/>
            </a:rPr>
            <a:t>4. Rakennusselostus</a:t>
          </a:r>
        </a:p>
      </xdr:txBody>
    </xdr:sp>
    <xdr:clientData/>
  </xdr:twoCellAnchor>
  <xdr:twoCellAnchor editAs="oneCell">
    <xdr:from>
      <xdr:col>1</xdr:col>
      <xdr:colOff>44450</xdr:colOff>
      <xdr:row>71</xdr:row>
      <xdr:rowOff>179917</xdr:rowOff>
    </xdr:from>
    <xdr:to>
      <xdr:col>3</xdr:col>
      <xdr:colOff>286267</xdr:colOff>
      <xdr:row>73</xdr:row>
      <xdr:rowOff>154076</xdr:rowOff>
    </xdr:to>
    <xdr:pic>
      <xdr:nvPicPr>
        <xdr:cNvPr id="52" name="Kuva 51">
          <a:extLst>
            <a:ext uri="{FF2B5EF4-FFF2-40B4-BE49-F238E27FC236}">
              <a16:creationId xmlns:a16="http://schemas.microsoft.com/office/drawing/2014/main" id="{E8088A14-F684-4C2F-9F67-4596FC51BA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49225" y="13400617"/>
          <a:ext cx="7166492" cy="336109"/>
        </a:xfrm>
        <a:prstGeom prst="rect">
          <a:avLst/>
        </a:prstGeom>
      </xdr:spPr>
    </xdr:pic>
    <xdr:clientData/>
  </xdr:twoCellAnchor>
  <xdr:twoCellAnchor>
    <xdr:from>
      <xdr:col>1</xdr:col>
      <xdr:colOff>1475621</xdr:colOff>
      <xdr:row>72</xdr:row>
      <xdr:rowOff>45630</xdr:rowOff>
    </xdr:from>
    <xdr:to>
      <xdr:col>1</xdr:col>
      <xdr:colOff>3304067</xdr:colOff>
      <xdr:row>73</xdr:row>
      <xdr:rowOff>123647</xdr:rowOff>
    </xdr:to>
    <xdr:sp macro="" textlink="">
      <xdr:nvSpPr>
        <xdr:cNvPr id="53" name="Suorakulmio 52">
          <a:extLst>
            <a:ext uri="{FF2B5EF4-FFF2-40B4-BE49-F238E27FC236}">
              <a16:creationId xmlns:a16="http://schemas.microsoft.com/office/drawing/2014/main" id="{A1F8803E-7DFE-42DF-80D9-7CA18083A534}"/>
            </a:ext>
          </a:extLst>
        </xdr:cNvPr>
        <xdr:cNvSpPr/>
      </xdr:nvSpPr>
      <xdr:spPr>
        <a:xfrm>
          <a:off x="1580396" y="13447305"/>
          <a:ext cx="1828446" cy="258992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  <xdr:oneCellAnchor>
    <xdr:from>
      <xdr:col>1</xdr:col>
      <xdr:colOff>124602</xdr:colOff>
      <xdr:row>129</xdr:row>
      <xdr:rowOff>58187</xdr:rowOff>
    </xdr:from>
    <xdr:ext cx="9228624" cy="1125693"/>
    <xdr:sp macro="" textlink="">
      <xdr:nvSpPr>
        <xdr:cNvPr id="54" name="Tekstiruutu 53">
          <a:extLst>
            <a:ext uri="{FF2B5EF4-FFF2-40B4-BE49-F238E27FC236}">
              <a16:creationId xmlns:a16="http://schemas.microsoft.com/office/drawing/2014/main" id="{47088F2E-A2BA-4B9A-AB19-2351B84C4C7D}"/>
            </a:ext>
          </a:extLst>
        </xdr:cNvPr>
        <xdr:cNvSpPr txBox="1"/>
      </xdr:nvSpPr>
      <xdr:spPr>
        <a:xfrm>
          <a:off x="232552" y="24372337"/>
          <a:ext cx="9228624" cy="11256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fi-FI" sz="1100"/>
            <a:t>Koontilomakkeita</a:t>
          </a:r>
          <a:r>
            <a:rPr lang="fi-FI" sz="1100" baseline="0"/>
            <a:t> ovat: </a:t>
          </a:r>
        </a:p>
        <a:p>
          <a:r>
            <a:rPr lang="fi-FI" sz="1100" b="1" baseline="0"/>
            <a:t>- Kustannusarvion koonti</a:t>
          </a:r>
        </a:p>
        <a:p>
          <a:r>
            <a:rPr lang="fi-FI" sz="1100" b="1" baseline="0"/>
            <a:t>- Talkootyön koonti</a:t>
          </a:r>
        </a:p>
        <a:p>
          <a:r>
            <a:rPr lang="fi-FI" sz="1100" b="1" baseline="0"/>
            <a:t>- Rakennusselostus koonti</a:t>
          </a:r>
        </a:p>
        <a:p>
          <a:endParaRPr lang="fi-FI" sz="1100" baseline="0"/>
        </a:p>
        <a:p>
          <a:r>
            <a:rPr lang="fi-FI" sz="1100"/>
            <a:t>Koontilomakkeisiin siirtyy tiedot </a:t>
          </a:r>
          <a:r>
            <a:rPr lang="fi-FI" sz="1100" b="1"/>
            <a:t>Hankkeen tiedot</a:t>
          </a:r>
          <a:r>
            <a:rPr lang="fi-FI" sz="1100"/>
            <a:t>, </a:t>
          </a:r>
          <a:r>
            <a:rPr lang="fi-FI" sz="1100" b="1"/>
            <a:t>Kustannusarvio | Rakennusselostus </a:t>
          </a:r>
          <a:r>
            <a:rPr lang="fi-FI" sz="1100"/>
            <a:t>lomakkeen tiedoilla ja näitä koontilomakkeita ei voi muokata.</a:t>
          </a:r>
        </a:p>
      </xdr:txBody>
    </xdr:sp>
    <xdr:clientData/>
  </xdr:oneCellAnchor>
  <xdr:twoCellAnchor>
    <xdr:from>
      <xdr:col>5</xdr:col>
      <xdr:colOff>184150</xdr:colOff>
      <xdr:row>3</xdr:row>
      <xdr:rowOff>0</xdr:rowOff>
    </xdr:from>
    <xdr:to>
      <xdr:col>5</xdr:col>
      <xdr:colOff>2892424</xdr:colOff>
      <xdr:row>5</xdr:row>
      <xdr:rowOff>182224</xdr:rowOff>
    </xdr:to>
    <xdr:sp macro="" textlink="">
      <xdr:nvSpPr>
        <xdr:cNvPr id="55" name="Tekstiruutu 54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836A6908-8468-4785-AC7B-99D81CD657CF}"/>
            </a:ext>
          </a:extLst>
        </xdr:cNvPr>
        <xdr:cNvSpPr txBox="1"/>
      </xdr:nvSpPr>
      <xdr:spPr>
        <a:xfrm>
          <a:off x="10871200" y="704850"/>
          <a:ext cx="2708274" cy="563224"/>
        </a:xfrm>
        <a:prstGeom prst="rect">
          <a:avLst/>
        </a:prstGeom>
        <a:solidFill>
          <a:srgbClr val="FFFF00"/>
        </a:solidFill>
        <a:ln w="9525" cmpd="sng">
          <a:solidFill>
            <a:schemeClr val="accent1"/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i-FI" sz="1200"/>
            <a:t>Katso video, miten taulukko täytetään:</a:t>
          </a:r>
        </a:p>
        <a:p>
          <a:pPr algn="ctr"/>
          <a:r>
            <a:rPr lang="fi-FI" sz="1200" u="sng">
              <a:solidFill>
                <a:schemeClr val="accent1"/>
              </a:solidFill>
            </a:rPr>
            <a:t>&gt;&gt; Linkki videoon</a:t>
          </a:r>
        </a:p>
      </xdr:txBody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1707066</xdr:colOff>
      <xdr:row>117</xdr:row>
      <xdr:rowOff>158750</xdr:rowOff>
    </xdr:to>
    <xdr:pic>
      <xdr:nvPicPr>
        <xdr:cNvPr id="56" name="Kuva 55">
          <a:extLst>
            <a:ext uri="{FF2B5EF4-FFF2-40B4-BE49-F238E27FC236}">
              <a16:creationId xmlns:a16="http://schemas.microsoft.com/office/drawing/2014/main" id="{75439C50-C0F6-427A-9A4C-7A3E44582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07950" y="18764250"/>
          <a:ext cx="8634916" cy="3232150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twoCellAnchor>
  <xdr:twoCellAnchor>
    <xdr:from>
      <xdr:col>1</xdr:col>
      <xdr:colOff>901700</xdr:colOff>
      <xdr:row>52</xdr:row>
      <xdr:rowOff>15875</xdr:rowOff>
    </xdr:from>
    <xdr:to>
      <xdr:col>1</xdr:col>
      <xdr:colOff>2168525</xdr:colOff>
      <xdr:row>56</xdr:row>
      <xdr:rowOff>149225</xdr:rowOff>
    </xdr:to>
    <xdr:sp macro="" textlink="">
      <xdr:nvSpPr>
        <xdr:cNvPr id="57" name="Ellipsi 56">
          <a:extLst>
            <a:ext uri="{FF2B5EF4-FFF2-40B4-BE49-F238E27FC236}">
              <a16:creationId xmlns:a16="http://schemas.microsoft.com/office/drawing/2014/main" id="{815F9B44-22D3-4E14-8B4B-3CC1CE165659}"/>
            </a:ext>
          </a:extLst>
        </xdr:cNvPr>
        <xdr:cNvSpPr/>
      </xdr:nvSpPr>
      <xdr:spPr>
        <a:xfrm>
          <a:off x="1009650" y="9928225"/>
          <a:ext cx="1266825" cy="8699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  <xdr:twoCellAnchor>
    <xdr:from>
      <xdr:col>1</xdr:col>
      <xdr:colOff>1980293</xdr:colOff>
      <xdr:row>48</xdr:row>
      <xdr:rowOff>34925</xdr:rowOff>
    </xdr:from>
    <xdr:to>
      <xdr:col>2</xdr:col>
      <xdr:colOff>1892300</xdr:colOff>
      <xdr:row>52</xdr:row>
      <xdr:rowOff>145056</xdr:rowOff>
    </xdr:to>
    <xdr:cxnSp macro="">
      <xdr:nvCxnSpPr>
        <xdr:cNvPr id="58" name="Suora nuoliyhdysviiva 57">
          <a:extLst>
            <a:ext uri="{FF2B5EF4-FFF2-40B4-BE49-F238E27FC236}">
              <a16:creationId xmlns:a16="http://schemas.microsoft.com/office/drawing/2014/main" id="{82EA95F0-8F72-4C21-9F21-F9FE1E4BEA1B}"/>
            </a:ext>
          </a:extLst>
        </xdr:cNvPr>
        <xdr:cNvCxnSpPr>
          <a:stCxn id="57" idx="7"/>
        </xdr:cNvCxnSpPr>
      </xdr:nvCxnSpPr>
      <xdr:spPr>
        <a:xfrm flipV="1">
          <a:off x="2088243" y="9210675"/>
          <a:ext cx="4763407" cy="846731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1714694</xdr:colOff>
      <xdr:row>49</xdr:row>
      <xdr:rowOff>106329</xdr:rowOff>
    </xdr:from>
    <xdr:to>
      <xdr:col>2</xdr:col>
      <xdr:colOff>1854394</xdr:colOff>
      <xdr:row>51</xdr:row>
      <xdr:rowOff>178836</xdr:rowOff>
    </xdr:to>
    <xdr:cxnSp macro="">
      <xdr:nvCxnSpPr>
        <xdr:cNvPr id="59" name="Suora nuoliyhdysviiva 58">
          <a:extLst>
            <a:ext uri="{FF2B5EF4-FFF2-40B4-BE49-F238E27FC236}">
              <a16:creationId xmlns:a16="http://schemas.microsoft.com/office/drawing/2014/main" id="{681DCD14-409B-4219-9059-0BAE84C2CFF3}"/>
            </a:ext>
          </a:extLst>
        </xdr:cNvPr>
        <xdr:cNvCxnSpPr/>
      </xdr:nvCxnSpPr>
      <xdr:spPr>
        <a:xfrm flipV="1">
          <a:off x="6667694" y="9326529"/>
          <a:ext cx="139700" cy="434457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1770195</xdr:colOff>
      <xdr:row>49</xdr:row>
      <xdr:rowOff>0</xdr:rowOff>
    </xdr:from>
    <xdr:to>
      <xdr:col>2</xdr:col>
      <xdr:colOff>1914525</xdr:colOff>
      <xdr:row>58</xdr:row>
      <xdr:rowOff>66611</xdr:rowOff>
    </xdr:to>
    <xdr:cxnSp macro="">
      <xdr:nvCxnSpPr>
        <xdr:cNvPr id="60" name="Suora nuoliyhdysviiva 59">
          <a:extLst>
            <a:ext uri="{FF2B5EF4-FFF2-40B4-BE49-F238E27FC236}">
              <a16:creationId xmlns:a16="http://schemas.microsoft.com/office/drawing/2014/main" id="{AD366DBB-F08D-4713-9578-F389F3E3B110}"/>
            </a:ext>
          </a:extLst>
        </xdr:cNvPr>
        <xdr:cNvCxnSpPr>
          <a:stCxn id="63" idx="7"/>
        </xdr:cNvCxnSpPr>
      </xdr:nvCxnSpPr>
      <xdr:spPr>
        <a:xfrm flipV="1">
          <a:off x="1878145" y="9359900"/>
          <a:ext cx="4995730" cy="1723961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657548</xdr:colOff>
      <xdr:row>181</xdr:row>
      <xdr:rowOff>46846</xdr:rowOff>
    </xdr:from>
    <xdr:to>
      <xdr:col>5</xdr:col>
      <xdr:colOff>380546</xdr:colOff>
      <xdr:row>201</xdr:row>
      <xdr:rowOff>102355</xdr:rowOff>
    </xdr:to>
    <xdr:pic>
      <xdr:nvPicPr>
        <xdr:cNvPr id="61" name="Kuva 60">
          <a:extLst>
            <a:ext uri="{FF2B5EF4-FFF2-40B4-BE49-F238E27FC236}">
              <a16:creationId xmlns:a16="http://schemas.microsoft.com/office/drawing/2014/main" id="{63E78E90-5CAA-494B-AC0B-5894CD804E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93348" y="35886246"/>
          <a:ext cx="3374248" cy="5802259"/>
        </a:xfrm>
        <a:prstGeom prst="rect">
          <a:avLst/>
        </a:prstGeom>
      </xdr:spPr>
    </xdr:pic>
    <xdr:clientData/>
  </xdr:twoCellAnchor>
  <xdr:twoCellAnchor>
    <xdr:from>
      <xdr:col>2</xdr:col>
      <xdr:colOff>1159069</xdr:colOff>
      <xdr:row>52</xdr:row>
      <xdr:rowOff>16911</xdr:rowOff>
    </xdr:from>
    <xdr:to>
      <xdr:col>3</xdr:col>
      <xdr:colOff>54169</xdr:colOff>
      <xdr:row>55</xdr:row>
      <xdr:rowOff>150779</xdr:rowOff>
    </xdr:to>
    <xdr:sp macro="" textlink="">
      <xdr:nvSpPr>
        <xdr:cNvPr id="62" name="Ellipsi 61">
          <a:extLst>
            <a:ext uri="{FF2B5EF4-FFF2-40B4-BE49-F238E27FC236}">
              <a16:creationId xmlns:a16="http://schemas.microsoft.com/office/drawing/2014/main" id="{B6CBD027-DDF2-44E9-BA76-AAD6D3554433}"/>
            </a:ext>
          </a:extLst>
        </xdr:cNvPr>
        <xdr:cNvSpPr/>
      </xdr:nvSpPr>
      <xdr:spPr>
        <a:xfrm>
          <a:off x="6112069" y="9780036"/>
          <a:ext cx="971550" cy="676793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  <xdr:twoCellAnchor>
    <xdr:from>
      <xdr:col>1</xdr:col>
      <xdr:colOff>19049</xdr:colOff>
      <xdr:row>57</xdr:row>
      <xdr:rowOff>123825</xdr:rowOff>
    </xdr:from>
    <xdr:to>
      <xdr:col>1</xdr:col>
      <xdr:colOff>2066924</xdr:colOff>
      <xdr:row>62</xdr:row>
      <xdr:rowOff>85725</xdr:rowOff>
    </xdr:to>
    <xdr:sp macro="" textlink="">
      <xdr:nvSpPr>
        <xdr:cNvPr id="63" name="Ellipsi 62">
          <a:extLst>
            <a:ext uri="{FF2B5EF4-FFF2-40B4-BE49-F238E27FC236}">
              <a16:creationId xmlns:a16="http://schemas.microsoft.com/office/drawing/2014/main" id="{10569CFD-0A04-4CFB-85BF-8BA57AACB504}"/>
            </a:ext>
          </a:extLst>
        </xdr:cNvPr>
        <xdr:cNvSpPr/>
      </xdr:nvSpPr>
      <xdr:spPr>
        <a:xfrm>
          <a:off x="126999" y="10956925"/>
          <a:ext cx="2047875" cy="8826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  <xdr:oneCellAnchor>
    <xdr:from>
      <xdr:col>2</xdr:col>
      <xdr:colOff>2000250</xdr:colOff>
      <xdr:row>47</xdr:row>
      <xdr:rowOff>139700</xdr:rowOff>
    </xdr:from>
    <xdr:ext cx="3863943" cy="452432"/>
    <xdr:sp macro="" textlink="">
      <xdr:nvSpPr>
        <xdr:cNvPr id="64" name="Tekstiruutu 63">
          <a:extLst>
            <a:ext uri="{FF2B5EF4-FFF2-40B4-BE49-F238E27FC236}">
              <a16:creationId xmlns:a16="http://schemas.microsoft.com/office/drawing/2014/main" id="{CB94D3DF-C670-46CC-8299-2703898B3E03}"/>
            </a:ext>
          </a:extLst>
        </xdr:cNvPr>
        <xdr:cNvSpPr txBox="1"/>
      </xdr:nvSpPr>
      <xdr:spPr>
        <a:xfrm>
          <a:off x="6959600" y="9131300"/>
          <a:ext cx="3863943" cy="452432"/>
        </a:xfrm>
        <a:prstGeom prst="rect">
          <a:avLst/>
        </a:prstGeom>
        <a:solidFill>
          <a:schemeClr val="bg1"/>
        </a:solidFill>
        <a:ln>
          <a:solidFill>
            <a:schemeClr val="accent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i-FI" sz="1100"/>
            <a:t>Jos sinulta puuttuu tietoja, kuten rakennusselostus tai  ALV tieto,</a:t>
          </a:r>
        </a:p>
        <a:p>
          <a:r>
            <a:rPr lang="fi-FI" sz="1200">
              <a:solidFill>
                <a:srgbClr val="FF0000"/>
              </a:solidFill>
            </a:rPr>
            <a:t>tulee punainen huomautusteksti asiasiasta</a:t>
          </a:r>
        </a:p>
      </xdr:txBody>
    </xdr:sp>
    <xdr:clientData/>
  </xdr:oneCellAnchor>
  <xdr:twoCellAnchor>
    <xdr:from>
      <xdr:col>1</xdr:col>
      <xdr:colOff>160765</xdr:colOff>
      <xdr:row>178</xdr:row>
      <xdr:rowOff>37011</xdr:rowOff>
    </xdr:from>
    <xdr:to>
      <xdr:col>6</xdr:col>
      <xdr:colOff>25983</xdr:colOff>
      <xdr:row>179</xdr:row>
      <xdr:rowOff>233266</xdr:rowOff>
    </xdr:to>
    <xdr:sp macro="" textlink="">
      <xdr:nvSpPr>
        <xdr:cNvPr id="65" name="Tekstiruutu 64">
          <a:extLst>
            <a:ext uri="{FF2B5EF4-FFF2-40B4-BE49-F238E27FC236}">
              <a16:creationId xmlns:a16="http://schemas.microsoft.com/office/drawing/2014/main" id="{0EF3F4C5-FEC4-4D3F-A6B3-54B5B1B166FC}"/>
            </a:ext>
          </a:extLst>
        </xdr:cNvPr>
        <xdr:cNvSpPr txBox="1"/>
      </xdr:nvSpPr>
      <xdr:spPr>
        <a:xfrm>
          <a:off x="268715" y="35266811"/>
          <a:ext cx="13460568" cy="380405"/>
        </a:xfrm>
        <a:prstGeom prst="rect">
          <a:avLst/>
        </a:prstGeom>
        <a:solidFill>
          <a:srgbClr val="FFFF00"/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600" b="1"/>
            <a:t>Ohje</a:t>
          </a:r>
          <a:r>
            <a:rPr lang="fi-FI" sz="1600" b="1" baseline="0"/>
            <a:t> koontilomakkeiden .pdf-tiedoston luomiseen</a:t>
          </a:r>
          <a:endParaRPr lang="fi-FI" sz="1600"/>
        </a:p>
      </xdr:txBody>
    </xdr:sp>
    <xdr:clientData/>
  </xdr:twoCellAnchor>
  <xdr:twoCellAnchor>
    <xdr:from>
      <xdr:col>1</xdr:col>
      <xdr:colOff>65215</xdr:colOff>
      <xdr:row>183</xdr:row>
      <xdr:rowOff>18868</xdr:rowOff>
    </xdr:from>
    <xdr:to>
      <xdr:col>2</xdr:col>
      <xdr:colOff>1954970</xdr:colOff>
      <xdr:row>194</xdr:row>
      <xdr:rowOff>257175</xdr:rowOff>
    </xdr:to>
    <xdr:sp macro="" textlink="">
      <xdr:nvSpPr>
        <xdr:cNvPr id="67" name="Tekstiruutu 66">
          <a:extLst>
            <a:ext uri="{FF2B5EF4-FFF2-40B4-BE49-F238E27FC236}">
              <a16:creationId xmlns:a16="http://schemas.microsoft.com/office/drawing/2014/main" id="{8511C3CC-4799-4F3C-883C-B4595923FB94}"/>
            </a:ext>
          </a:extLst>
        </xdr:cNvPr>
        <xdr:cNvSpPr txBox="1"/>
      </xdr:nvSpPr>
      <xdr:spPr>
        <a:xfrm>
          <a:off x="173165" y="36372618"/>
          <a:ext cx="6741155" cy="3578407"/>
        </a:xfrm>
        <a:prstGeom prst="rect">
          <a:avLst/>
        </a:prstGeom>
        <a:ln>
          <a:noFill/>
        </a:ln>
        <a:effectLst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auto" latinLnBrk="0" hangingPunct="1"/>
          <a:r>
            <a:rPr lang="fi-FI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Koontilomakkeet</a:t>
          </a:r>
          <a:r>
            <a:rPr lang="fi-FI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tuovat tiedot</a:t>
          </a:r>
          <a:r>
            <a:rPr lang="fi-FI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Hankkeen tiedot </a:t>
          </a:r>
          <a:r>
            <a:rPr lang="fi-FI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sekä</a:t>
          </a:r>
          <a:r>
            <a:rPr lang="fi-FI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fi-FI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Kustannusarvio | Rakennusselostus </a:t>
          </a:r>
          <a:r>
            <a:rPr lang="fi-FI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välilehdestä.</a:t>
          </a:r>
          <a:endParaRPr lang="fi-FI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fi-FI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Näitä taulukoita ei voi muokata. Ne voi vain tallentaa tai tulostaa.</a:t>
          </a:r>
        </a:p>
        <a:p>
          <a:pPr eaLnBrk="1" fontAlgn="auto" latinLnBrk="0" hangingPunct="1"/>
          <a:endParaRPr lang="fi-FI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i-FI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Jos sinulla on Adobe Acrobat ohjelmisto, voit tallentaa  jokaisen koontitaulukon erikseen valitsemalla </a:t>
          </a:r>
        </a:p>
        <a:p>
          <a:r>
            <a:rPr lang="fi-FI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Tiedosto -&gt; Tallenna Adobe -PDF tiedostona.</a:t>
          </a:r>
        </a:p>
        <a:p>
          <a:endParaRPr lang="fi-FI" sz="1100" b="1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i-FI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Jos sinulla ei ole Adoben ohjelmistoa, niin voit Tallentaa taulukon tulostuksen kautta  .pdf </a:t>
          </a:r>
          <a:r>
            <a:rPr lang="fi-FI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formaattiin seuraavasti</a:t>
          </a:r>
          <a:r>
            <a:rPr lang="fi-FI" sz="11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endParaRPr lang="fi-FI" sz="110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i-FI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Valitse</a:t>
          </a:r>
        </a:p>
        <a:p>
          <a:r>
            <a:rPr lang="fi-FI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Tiedosto</a:t>
          </a:r>
          <a:r>
            <a:rPr lang="fi-FI" sz="11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-&gt; </a:t>
          </a:r>
          <a:r>
            <a:rPr lang="fi-FI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Tulosta</a:t>
          </a:r>
          <a:r>
            <a:rPr lang="fi-FI" sz="11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fi-FI" sz="110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-&gt;</a:t>
          </a:r>
          <a:endParaRPr lang="fi-FI" sz="110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i-FI" sz="11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valitse tulostimeksi </a:t>
          </a:r>
          <a:r>
            <a:rPr lang="fi-FI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Microsoft Print to PDF</a:t>
          </a:r>
          <a:r>
            <a:rPr lang="fi-FI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</a:t>
          </a:r>
          <a:r>
            <a:rPr lang="fi-FI" sz="11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-&gt;</a:t>
          </a:r>
          <a:r>
            <a:rPr lang="fi-FI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r>
            <a:rPr lang="fi-FI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Valitse </a:t>
          </a:r>
          <a:r>
            <a:rPr lang="fi-FI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Tulosta </a:t>
          </a:r>
          <a:r>
            <a:rPr lang="fi-FI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(Tulostusta ei tapahdu, vaan seuravaksi ohjelma kysyy mihin kansioon .pdf tulostus tehdään). </a:t>
          </a:r>
          <a:r>
            <a:rPr lang="fi-FI" sz="11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-&gt;</a:t>
          </a:r>
          <a:r>
            <a:rPr lang="fi-FI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br>
            <a:rPr lang="fi-FI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fi-FI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Valitaan kansio (tai luodaan uusi) ja annetaan tiedostolle nimi.</a:t>
          </a:r>
          <a:endParaRPr lang="fi-FI" b="0">
            <a:effectLst/>
          </a:endParaRPr>
        </a:p>
        <a:p>
          <a:endParaRPr lang="fi-FI" sz="1100" i="1" baseline="0"/>
        </a:p>
        <a:p>
          <a:r>
            <a:rPr lang="fi-FI" sz="1100" i="0"/>
            <a:t>Vie</a:t>
          </a:r>
          <a:r>
            <a:rPr lang="fi-FI" sz="1100" i="0" baseline="0"/>
            <a:t> koontilomakkeista tallennetut .pdf tiedostot Hyrrään liitteiksi.</a:t>
          </a:r>
        </a:p>
        <a:p>
          <a:endParaRPr lang="fi-FI" sz="1100" i="0" baseline="0"/>
        </a:p>
        <a:p>
          <a:r>
            <a:rPr lang="fi-FI" sz="1100" i="0" baseline="0"/>
            <a:t>Tallennusohje pdf tiedostoksi löytyy myös koontilomakkeista</a:t>
          </a:r>
          <a:endParaRPr lang="fi-FI" sz="1100" i="0"/>
        </a:p>
      </xdr:txBody>
    </xdr:sp>
    <xdr:clientData/>
  </xdr:twoCellAnchor>
  <xdr:twoCellAnchor>
    <xdr:from>
      <xdr:col>1</xdr:col>
      <xdr:colOff>3344125</xdr:colOff>
      <xdr:row>125</xdr:row>
      <xdr:rowOff>2025</xdr:rowOff>
    </xdr:from>
    <xdr:to>
      <xdr:col>3</xdr:col>
      <xdr:colOff>466530</xdr:colOff>
      <xdr:row>126</xdr:row>
      <xdr:rowOff>142377</xdr:rowOff>
    </xdr:to>
    <xdr:sp macro="" textlink="">
      <xdr:nvSpPr>
        <xdr:cNvPr id="68" name="Suorakulmio 67">
          <a:extLst>
            <a:ext uri="{FF2B5EF4-FFF2-40B4-BE49-F238E27FC236}">
              <a16:creationId xmlns:a16="http://schemas.microsoft.com/office/drawing/2014/main" id="{DFC31CA8-19EF-48B5-BD7D-15EFA7734838}"/>
            </a:ext>
          </a:extLst>
        </xdr:cNvPr>
        <xdr:cNvSpPr/>
      </xdr:nvSpPr>
      <xdr:spPr>
        <a:xfrm>
          <a:off x="3452075" y="23579575"/>
          <a:ext cx="4050255" cy="324502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  <xdr:twoCellAnchor>
    <xdr:from>
      <xdr:col>1</xdr:col>
      <xdr:colOff>2409481</xdr:colOff>
      <xdr:row>36</xdr:row>
      <xdr:rowOff>4708</xdr:rowOff>
    </xdr:from>
    <xdr:to>
      <xdr:col>1</xdr:col>
      <xdr:colOff>4746237</xdr:colOff>
      <xdr:row>38</xdr:row>
      <xdr:rowOff>104709</xdr:rowOff>
    </xdr:to>
    <xdr:sp macro="" textlink="">
      <xdr:nvSpPr>
        <xdr:cNvPr id="69" name="Tekstiruutu 68">
          <a:extLst>
            <a:ext uri="{FF2B5EF4-FFF2-40B4-BE49-F238E27FC236}">
              <a16:creationId xmlns:a16="http://schemas.microsoft.com/office/drawing/2014/main" id="{8D7B1D63-58A8-4F9D-87FB-450BEBD30CC6}"/>
            </a:ext>
          </a:extLst>
        </xdr:cNvPr>
        <xdr:cNvSpPr txBox="1"/>
      </xdr:nvSpPr>
      <xdr:spPr>
        <a:xfrm>
          <a:off x="2517431" y="6970658"/>
          <a:ext cx="2336756" cy="468301"/>
        </a:xfrm>
        <a:prstGeom prst="rect">
          <a:avLst/>
        </a:prstGeom>
        <a:solidFill>
          <a:schemeClr val="accent2"/>
        </a:solidFill>
        <a:ln/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fi-FI" sz="1600" b="1">
              <a:solidFill>
                <a:schemeClr val="bg1"/>
              </a:solidFill>
            </a:rPr>
            <a:t>1</a:t>
          </a:r>
          <a:r>
            <a:rPr lang="fi-FI" sz="1600">
              <a:solidFill>
                <a:schemeClr val="bg1"/>
              </a:solidFill>
            </a:rPr>
            <a:t>. Hankkeen yleistiedot</a:t>
          </a:r>
          <a:r>
            <a:rPr lang="fi-FI" sz="1600" b="1">
              <a:solidFill>
                <a:schemeClr val="bg1"/>
              </a:solidFill>
            </a:rPr>
            <a:t>.      </a:t>
          </a:r>
        </a:p>
      </xdr:txBody>
    </xdr:sp>
    <xdr:clientData/>
  </xdr:twoCellAnchor>
  <xdr:twoCellAnchor editAs="oneCell">
    <xdr:from>
      <xdr:col>1</xdr:col>
      <xdr:colOff>145239</xdr:colOff>
      <xdr:row>180</xdr:row>
      <xdr:rowOff>172167</xdr:rowOff>
    </xdr:from>
    <xdr:to>
      <xdr:col>1</xdr:col>
      <xdr:colOff>4808240</xdr:colOff>
      <xdr:row>182</xdr:row>
      <xdr:rowOff>184149</xdr:rowOff>
    </xdr:to>
    <xdr:pic>
      <xdr:nvPicPr>
        <xdr:cNvPr id="71" name="Kuva 70">
          <a:extLst>
            <a:ext uri="{FF2B5EF4-FFF2-40B4-BE49-F238E27FC236}">
              <a16:creationId xmlns:a16="http://schemas.microsoft.com/office/drawing/2014/main" id="{B9789FEE-4485-456E-B8B8-565E87FC283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/>
        <a:srcRect l="45163"/>
        <a:stretch/>
      </xdr:blipFill>
      <xdr:spPr>
        <a:xfrm>
          <a:off x="253189" y="35827417"/>
          <a:ext cx="4663001" cy="370757"/>
        </a:xfrm>
        <a:prstGeom prst="rect">
          <a:avLst/>
        </a:prstGeom>
      </xdr:spPr>
    </xdr:pic>
    <xdr:clientData/>
  </xdr:twoCellAnchor>
  <xdr:twoCellAnchor editAs="oneCell">
    <xdr:from>
      <xdr:col>1</xdr:col>
      <xdr:colOff>7150</xdr:colOff>
      <xdr:row>117</xdr:row>
      <xdr:rowOff>158885</xdr:rowOff>
    </xdr:from>
    <xdr:to>
      <xdr:col>1</xdr:col>
      <xdr:colOff>4256454</xdr:colOff>
      <xdr:row>120</xdr:row>
      <xdr:rowOff>821</xdr:rowOff>
    </xdr:to>
    <xdr:pic>
      <xdr:nvPicPr>
        <xdr:cNvPr id="37" name="Kuva 36">
          <a:extLst>
            <a:ext uri="{FF2B5EF4-FFF2-40B4-BE49-F238E27FC236}">
              <a16:creationId xmlns:a16="http://schemas.microsoft.com/office/drawing/2014/main" id="{C9E75653-D4F5-4F7B-AAE6-0B59A9678DD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/>
        <a:srcRect r="49270"/>
        <a:stretch/>
      </xdr:blipFill>
      <xdr:spPr>
        <a:xfrm>
          <a:off x="111925" y="21704435"/>
          <a:ext cx="4249304" cy="384861"/>
        </a:xfrm>
        <a:prstGeom prst="rect">
          <a:avLst/>
        </a:prstGeom>
      </xdr:spPr>
    </xdr:pic>
    <xdr:clientData/>
  </xdr:twoCellAnchor>
  <xdr:twoCellAnchor>
    <xdr:from>
      <xdr:col>1</xdr:col>
      <xdr:colOff>1664800</xdr:colOff>
      <xdr:row>118</xdr:row>
      <xdr:rowOff>25988</xdr:rowOff>
    </xdr:from>
    <xdr:to>
      <xdr:col>1</xdr:col>
      <xdr:colOff>3826434</xdr:colOff>
      <xdr:row>119</xdr:row>
      <xdr:rowOff>155412</xdr:rowOff>
    </xdr:to>
    <xdr:sp macro="" textlink="">
      <xdr:nvSpPr>
        <xdr:cNvPr id="70" name="Suorakulmio 69">
          <a:extLst>
            <a:ext uri="{FF2B5EF4-FFF2-40B4-BE49-F238E27FC236}">
              <a16:creationId xmlns:a16="http://schemas.microsoft.com/office/drawing/2014/main" id="{AF07C4BD-57EE-4F5F-9758-A1526C36E4D3}"/>
            </a:ext>
          </a:extLst>
        </xdr:cNvPr>
        <xdr:cNvSpPr/>
      </xdr:nvSpPr>
      <xdr:spPr>
        <a:xfrm>
          <a:off x="1769575" y="21752513"/>
          <a:ext cx="2161634" cy="310399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127268</xdr:colOff>
      <xdr:row>2</xdr:row>
      <xdr:rowOff>78099</xdr:rowOff>
    </xdr:from>
    <xdr:to>
      <xdr:col>17</xdr:col>
      <xdr:colOff>2228850</xdr:colOff>
      <xdr:row>3</xdr:row>
      <xdr:rowOff>155389</xdr:rowOff>
    </xdr:to>
    <xdr:pic>
      <xdr:nvPicPr>
        <xdr:cNvPr id="6" name="Kuva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71793" y="259074"/>
          <a:ext cx="2101582" cy="363040"/>
        </a:xfrm>
        <a:prstGeom prst="rect">
          <a:avLst/>
        </a:prstGeom>
      </xdr:spPr>
    </xdr:pic>
    <xdr:clientData/>
  </xdr:twoCellAnchor>
  <xdr:twoCellAnchor editAs="oneCell">
    <xdr:from>
      <xdr:col>14</xdr:col>
      <xdr:colOff>201558</xdr:colOff>
      <xdr:row>1</xdr:row>
      <xdr:rowOff>57151</xdr:rowOff>
    </xdr:from>
    <xdr:to>
      <xdr:col>16</xdr:col>
      <xdr:colOff>240592</xdr:colOff>
      <xdr:row>3</xdr:row>
      <xdr:rowOff>216461</xdr:rowOff>
    </xdr:to>
    <xdr:pic>
      <xdr:nvPicPr>
        <xdr:cNvPr id="7" name="Kuva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74433" y="133351"/>
          <a:ext cx="1436034" cy="553010"/>
        </a:xfrm>
        <a:prstGeom prst="rect">
          <a:avLst/>
        </a:prstGeom>
      </xdr:spPr>
    </xdr:pic>
    <xdr:clientData/>
  </xdr:twoCellAnchor>
  <xdr:twoCellAnchor editAs="oneCell">
    <xdr:from>
      <xdr:col>1</xdr:col>
      <xdr:colOff>8851</xdr:colOff>
      <xdr:row>3</xdr:row>
      <xdr:rowOff>47624</xdr:rowOff>
    </xdr:from>
    <xdr:to>
      <xdr:col>3</xdr:col>
      <xdr:colOff>7392</xdr:colOff>
      <xdr:row>4</xdr:row>
      <xdr:rowOff>371812</xdr:rowOff>
    </xdr:to>
    <xdr:pic>
      <xdr:nvPicPr>
        <xdr:cNvPr id="9" name="Kuva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9043"/>
        <a:stretch/>
      </xdr:blipFill>
      <xdr:spPr>
        <a:xfrm>
          <a:off x="85051" y="514349"/>
          <a:ext cx="3297366" cy="60676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27846</xdr:colOff>
      <xdr:row>0</xdr:row>
      <xdr:rowOff>0</xdr:rowOff>
    </xdr:from>
    <xdr:to>
      <xdr:col>1</xdr:col>
      <xdr:colOff>3544291</xdr:colOff>
      <xdr:row>9</xdr:row>
      <xdr:rowOff>25400</xdr:rowOff>
    </xdr:to>
    <xdr:pic>
      <xdr:nvPicPr>
        <xdr:cNvPr id="3" name="Kuva 2">
          <a:extLst>
            <a:ext uri="{FF2B5EF4-FFF2-40B4-BE49-F238E27FC236}">
              <a16:creationId xmlns:a16="http://schemas.microsoft.com/office/drawing/2014/main" id="{ABE1D235-D6BB-490D-82F6-FAAD2A91C2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727" y="0"/>
          <a:ext cx="3649795" cy="1555646"/>
        </a:xfrm>
        <a:prstGeom prst="rect">
          <a:avLst/>
        </a:prstGeom>
      </xdr:spPr>
    </xdr:pic>
    <xdr:clientData/>
  </xdr:twoCellAnchor>
  <xdr:twoCellAnchor editAs="oneCell">
    <xdr:from>
      <xdr:col>7</xdr:col>
      <xdr:colOff>628650</xdr:colOff>
      <xdr:row>1</xdr:row>
      <xdr:rowOff>34925</xdr:rowOff>
    </xdr:from>
    <xdr:to>
      <xdr:col>9</xdr:col>
      <xdr:colOff>473140</xdr:colOff>
      <xdr:row>3</xdr:row>
      <xdr:rowOff>6373</xdr:rowOff>
    </xdr:to>
    <xdr:pic>
      <xdr:nvPicPr>
        <xdr:cNvPr id="5" name="Kuva 4">
          <a:extLst>
            <a:ext uri="{FF2B5EF4-FFF2-40B4-BE49-F238E27FC236}">
              <a16:creationId xmlns:a16="http://schemas.microsoft.com/office/drawing/2014/main" id="{E35D867D-0F99-C6CA-073D-71D0617DD3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00" y="101600"/>
          <a:ext cx="1273240" cy="450873"/>
        </a:xfrm>
        <a:prstGeom prst="rect">
          <a:avLst/>
        </a:prstGeom>
      </xdr:spPr>
    </xdr:pic>
    <xdr:clientData/>
  </xdr:twoCellAnchor>
  <xdr:twoCellAnchor editAs="oneCell">
    <xdr:from>
      <xdr:col>8</xdr:col>
      <xdr:colOff>38100</xdr:colOff>
      <xdr:row>3</xdr:row>
      <xdr:rowOff>75362</xdr:rowOff>
    </xdr:from>
    <xdr:to>
      <xdr:col>10</xdr:col>
      <xdr:colOff>866775</xdr:colOff>
      <xdr:row>5</xdr:row>
      <xdr:rowOff>57149</xdr:rowOff>
    </xdr:to>
    <xdr:pic>
      <xdr:nvPicPr>
        <xdr:cNvPr id="7" name="Kuva 6">
          <a:extLst>
            <a:ext uri="{FF2B5EF4-FFF2-40B4-BE49-F238E27FC236}">
              <a16:creationId xmlns:a16="http://schemas.microsoft.com/office/drawing/2014/main" id="{8CAABEE2-CE85-D1BF-821B-B588EA06D1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67825" y="618287"/>
          <a:ext cx="2197100" cy="343737"/>
        </a:xfrm>
        <a:prstGeom prst="rect">
          <a:avLst/>
        </a:prstGeom>
      </xdr:spPr>
    </xdr:pic>
    <xdr:clientData/>
  </xdr:twoCellAnchor>
  <xdr:twoCellAnchor editAs="oneCell">
    <xdr:from>
      <xdr:col>12</xdr:col>
      <xdr:colOff>180975</xdr:colOff>
      <xdr:row>8</xdr:row>
      <xdr:rowOff>19050</xdr:rowOff>
    </xdr:from>
    <xdr:to>
      <xdr:col>18</xdr:col>
      <xdr:colOff>265923</xdr:colOff>
      <xdr:row>37</xdr:row>
      <xdr:rowOff>169809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43EB2586-2820-41EC-B8A4-184EF057E3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58625" y="1485900"/>
          <a:ext cx="3371073" cy="5808609"/>
        </a:xfrm>
        <a:prstGeom prst="rect">
          <a:avLst/>
        </a:prstGeom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247650</xdr:colOff>
      <xdr:row>5</xdr:row>
      <xdr:rowOff>352426</xdr:rowOff>
    </xdr:from>
    <xdr:to>
      <xdr:col>7</xdr:col>
      <xdr:colOff>133351</xdr:colOff>
      <xdr:row>6</xdr:row>
      <xdr:rowOff>28576</xdr:rowOff>
    </xdr:to>
    <xdr:sp macro="" textlink="">
      <xdr:nvSpPr>
        <xdr:cNvPr id="3" name="Tekstiruutu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6286500" y="1438276"/>
          <a:ext cx="4467226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000">
              <a:solidFill>
                <a:srgbClr val="FF0000"/>
              </a:solidFill>
            </a:rPr>
            <a:t>Jos teksti menee solun rajojen yli, niin valitse ylävalikosta Aloitus -&gt; Rivitä teksti.</a:t>
          </a:r>
        </a:p>
      </xdr:txBody>
    </xdr:sp>
    <xdr:clientData/>
  </xdr:twoCellAnchor>
  <xdr:twoCellAnchor editAs="oneCell">
    <xdr:from>
      <xdr:col>8</xdr:col>
      <xdr:colOff>95250</xdr:colOff>
      <xdr:row>4</xdr:row>
      <xdr:rowOff>19050</xdr:rowOff>
    </xdr:from>
    <xdr:to>
      <xdr:col>13</xdr:col>
      <xdr:colOff>421498</xdr:colOff>
      <xdr:row>32</xdr:row>
      <xdr:rowOff>150759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777C1FA6-71C1-47EA-BC08-F6D8FD4470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96625" y="742950"/>
          <a:ext cx="3374248" cy="5808609"/>
        </a:xfrm>
        <a:prstGeom prst="rect">
          <a:avLst/>
        </a:prstGeom>
      </xdr:spPr>
    </xdr:pic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1416758</xdr:colOff>
      <xdr:row>12</xdr:row>
      <xdr:rowOff>101700</xdr:rowOff>
    </xdr:from>
    <xdr:to>
      <xdr:col>1</xdr:col>
      <xdr:colOff>3302817</xdr:colOff>
      <xdr:row>13</xdr:row>
      <xdr:rowOff>354069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5008F8D6-3A85-4D40-9DF4-FFFE7985A0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8613" y="2140645"/>
          <a:ext cx="1940034" cy="355398"/>
        </a:xfrm>
        <a:prstGeom prst="rect">
          <a:avLst/>
        </a:prstGeom>
      </xdr:spPr>
    </xdr:pic>
    <xdr:clientData/>
  </xdr:twoCellAnchor>
  <xdr:twoCellAnchor editAs="oneCell">
    <xdr:from>
      <xdr:col>1</xdr:col>
      <xdr:colOff>48518</xdr:colOff>
      <xdr:row>12</xdr:row>
      <xdr:rowOff>84336</xdr:rowOff>
    </xdr:from>
    <xdr:to>
      <xdr:col>1</xdr:col>
      <xdr:colOff>1265956</xdr:colOff>
      <xdr:row>14</xdr:row>
      <xdr:rowOff>31494</xdr:rowOff>
    </xdr:to>
    <xdr:pic>
      <xdr:nvPicPr>
        <xdr:cNvPr id="3" name="Kuva 2">
          <a:extLst>
            <a:ext uri="{FF2B5EF4-FFF2-40B4-BE49-F238E27FC236}">
              <a16:creationId xmlns:a16="http://schemas.microsoft.com/office/drawing/2014/main" id="{A08EF382-9EAE-43C6-BE1A-F00EDA44F3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373" y="2123281"/>
          <a:ext cx="1214263" cy="432744"/>
        </a:xfrm>
        <a:prstGeom prst="rect">
          <a:avLst/>
        </a:prstGeom>
      </xdr:spPr>
    </xdr:pic>
    <xdr:clientData/>
  </xdr:twoCellAnchor>
  <xdr:twoCellAnchor>
    <xdr:from>
      <xdr:col>3</xdr:col>
      <xdr:colOff>3753085</xdr:colOff>
      <xdr:row>13</xdr:row>
      <xdr:rowOff>42124</xdr:rowOff>
    </xdr:from>
    <xdr:to>
      <xdr:col>3</xdr:col>
      <xdr:colOff>8223486</xdr:colOff>
      <xdr:row>13</xdr:row>
      <xdr:rowOff>322246</xdr:rowOff>
    </xdr:to>
    <xdr:sp macro="" textlink="">
      <xdr:nvSpPr>
        <xdr:cNvPr id="4" name="Tekstiruutu 3">
          <a:extLst>
            <a:ext uri="{FF2B5EF4-FFF2-40B4-BE49-F238E27FC236}">
              <a16:creationId xmlns:a16="http://schemas.microsoft.com/office/drawing/2014/main" id="{A068F680-FD4F-4621-A496-FD0A6E2F235C}"/>
            </a:ext>
          </a:extLst>
        </xdr:cNvPr>
        <xdr:cNvSpPr txBox="1"/>
      </xdr:nvSpPr>
      <xdr:spPr>
        <a:xfrm>
          <a:off x="8261817" y="2214797"/>
          <a:ext cx="4470401" cy="2801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000">
              <a:solidFill>
                <a:schemeClr val="bg1"/>
              </a:solidFill>
            </a:rPr>
            <a:t>Jos teksti menee solun rajojen yli, niin valitse ylävalikosta Aloitus -&gt; Rivitä teksti.</a:t>
          </a:r>
        </a:p>
      </xdr:txBody>
    </xdr:sp>
    <xdr:clientData/>
  </xdr:twoCellAnchor>
  <xdr:twoCellAnchor editAs="oneCell">
    <xdr:from>
      <xdr:col>5</xdr:col>
      <xdr:colOff>103909</xdr:colOff>
      <xdr:row>14</xdr:row>
      <xdr:rowOff>60614</xdr:rowOff>
    </xdr:from>
    <xdr:to>
      <xdr:col>10</xdr:col>
      <xdr:colOff>493946</xdr:colOff>
      <xdr:row>46</xdr:row>
      <xdr:rowOff>162882</xdr:rowOff>
    </xdr:to>
    <xdr:pic>
      <xdr:nvPicPr>
        <xdr:cNvPr id="5" name="Kuva 4">
          <a:extLst>
            <a:ext uri="{FF2B5EF4-FFF2-40B4-BE49-F238E27FC236}">
              <a16:creationId xmlns:a16="http://schemas.microsoft.com/office/drawing/2014/main" id="{CB7C505B-E5D1-4B46-84BC-EA2017FECC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09023" y="2554432"/>
          <a:ext cx="3377423" cy="5808609"/>
        </a:xfrm>
        <a:prstGeom prst="rect">
          <a:avLst/>
        </a:prstGeom>
      </xdr:spPr>
    </xdr:pic>
    <xdr:clientData fPrintsWithSheet="0"/>
  </xdr:twoCellAnchor>
</xdr:wsDr>
</file>

<file path=xl/theme/theme1.xml><?xml version="1.0" encoding="utf-8"?>
<a:theme xmlns:a="http://schemas.openxmlformats.org/drawingml/2006/main" name="Office 2013 – 2022 -te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5" Type="http://schemas.openxmlformats.org/officeDocument/2006/relationships/comments" Target="../comments4.xml"/><Relationship Id="rId4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6CC483-4A06-48D9-B995-2DDAC6128B00}">
  <sheetPr>
    <tabColor rgb="FFFF0000"/>
  </sheetPr>
  <dimension ref="A1:O276"/>
  <sheetViews>
    <sheetView showGridLines="0" tabSelected="1" zoomScaleNormal="100" workbookViewId="0">
      <selection activeCell="F11" sqref="F11"/>
    </sheetView>
  </sheetViews>
  <sheetFormatPr defaultRowHeight="14.5" x14ac:dyDescent="0.35"/>
  <cols>
    <col min="1" max="1" width="1.54296875" customWidth="1"/>
    <col min="2" max="2" width="69.453125" customWidth="1"/>
    <col min="3" max="3" width="29.7265625" customWidth="1"/>
    <col min="4" max="4" width="34.54296875" customWidth="1"/>
    <col min="5" max="5" width="17.7265625" customWidth="1"/>
    <col min="6" max="6" width="43.1796875" customWidth="1"/>
    <col min="7" max="7" width="1.54296875" customWidth="1"/>
  </cols>
  <sheetData>
    <row r="1" spans="2:8" ht="26.5" thickBot="1" x14ac:dyDescent="0.4">
      <c r="B1" s="311" t="s">
        <v>264</v>
      </c>
      <c r="H1" s="34"/>
    </row>
    <row r="2" spans="2:8" x14ac:dyDescent="0.35">
      <c r="H2" s="34"/>
    </row>
    <row r="3" spans="2:8" x14ac:dyDescent="0.35">
      <c r="H3" s="34"/>
    </row>
    <row r="4" spans="2:8" x14ac:dyDescent="0.35">
      <c r="H4" s="34"/>
    </row>
    <row r="5" spans="2:8" ht="15.5" x14ac:dyDescent="0.35">
      <c r="B5" s="67" t="s">
        <v>265</v>
      </c>
      <c r="H5" s="34"/>
    </row>
    <row r="6" spans="2:8" x14ac:dyDescent="0.35">
      <c r="H6" s="34"/>
    </row>
    <row r="7" spans="2:8" ht="15.5" x14ac:dyDescent="0.35">
      <c r="B7" s="68"/>
      <c r="H7" s="34"/>
    </row>
    <row r="8" spans="2:8" x14ac:dyDescent="0.35">
      <c r="H8" s="34"/>
    </row>
    <row r="9" spans="2:8" x14ac:dyDescent="0.35">
      <c r="H9" s="34"/>
    </row>
    <row r="10" spans="2:8" x14ac:dyDescent="0.35">
      <c r="H10" s="34"/>
    </row>
    <row r="11" spans="2:8" x14ac:dyDescent="0.35">
      <c r="H11" s="34"/>
    </row>
    <row r="12" spans="2:8" x14ac:dyDescent="0.35">
      <c r="H12" s="34"/>
    </row>
    <row r="13" spans="2:8" x14ac:dyDescent="0.35">
      <c r="H13" s="34"/>
    </row>
    <row r="14" spans="2:8" x14ac:dyDescent="0.35">
      <c r="H14" s="34"/>
    </row>
    <row r="15" spans="2:8" x14ac:dyDescent="0.35">
      <c r="H15" s="34"/>
    </row>
    <row r="16" spans="2:8" x14ac:dyDescent="0.35">
      <c r="H16" s="34"/>
    </row>
    <row r="17" spans="2:8" x14ac:dyDescent="0.35">
      <c r="H17" s="34"/>
    </row>
    <row r="18" spans="2:8" x14ac:dyDescent="0.35">
      <c r="H18" s="34"/>
    </row>
    <row r="19" spans="2:8" x14ac:dyDescent="0.35">
      <c r="H19" s="34"/>
    </row>
    <row r="20" spans="2:8" x14ac:dyDescent="0.35">
      <c r="H20" s="34"/>
    </row>
    <row r="21" spans="2:8" x14ac:dyDescent="0.35">
      <c r="H21" s="34"/>
    </row>
    <row r="22" spans="2:8" x14ac:dyDescent="0.35">
      <c r="H22" s="34"/>
    </row>
    <row r="23" spans="2:8" x14ac:dyDescent="0.35">
      <c r="H23" s="34"/>
    </row>
    <row r="24" spans="2:8" ht="15" thickBot="1" x14ac:dyDescent="0.4">
      <c r="H24" s="34"/>
    </row>
    <row r="25" spans="2:8" ht="26.5" thickBot="1" x14ac:dyDescent="0.4">
      <c r="B25" s="311" t="s">
        <v>266</v>
      </c>
      <c r="C25" s="142"/>
      <c r="D25" s="142"/>
      <c r="E25" s="142"/>
      <c r="F25" s="142"/>
      <c r="G25" s="142"/>
      <c r="H25" s="69"/>
    </row>
    <row r="26" spans="2:8" x14ac:dyDescent="0.35">
      <c r="H26" s="34"/>
    </row>
    <row r="27" spans="2:8" x14ac:dyDescent="0.35">
      <c r="H27" s="34"/>
    </row>
    <row r="28" spans="2:8" x14ac:dyDescent="0.35">
      <c r="H28" s="34"/>
    </row>
    <row r="29" spans="2:8" x14ac:dyDescent="0.35">
      <c r="H29" s="34"/>
    </row>
    <row r="30" spans="2:8" x14ac:dyDescent="0.35">
      <c r="H30" s="34"/>
    </row>
    <row r="31" spans="2:8" x14ac:dyDescent="0.35">
      <c r="H31" s="34"/>
    </row>
    <row r="32" spans="2:8" x14ac:dyDescent="0.35">
      <c r="H32" s="34"/>
    </row>
    <row r="33" spans="8:8" x14ac:dyDescent="0.35">
      <c r="H33" s="34"/>
    </row>
    <row r="34" spans="8:8" x14ac:dyDescent="0.35">
      <c r="H34" s="34"/>
    </row>
    <row r="35" spans="8:8" x14ac:dyDescent="0.35">
      <c r="H35" s="34"/>
    </row>
    <row r="36" spans="8:8" x14ac:dyDescent="0.35">
      <c r="H36" s="34"/>
    </row>
    <row r="37" spans="8:8" x14ac:dyDescent="0.35">
      <c r="H37" s="34"/>
    </row>
    <row r="38" spans="8:8" x14ac:dyDescent="0.35">
      <c r="H38" s="34"/>
    </row>
    <row r="39" spans="8:8" x14ac:dyDescent="0.35">
      <c r="H39" s="34"/>
    </row>
    <row r="40" spans="8:8" x14ac:dyDescent="0.35">
      <c r="H40" s="34"/>
    </row>
    <row r="41" spans="8:8" x14ac:dyDescent="0.35">
      <c r="H41" s="34"/>
    </row>
    <row r="42" spans="8:8" x14ac:dyDescent="0.35">
      <c r="H42" s="34"/>
    </row>
    <row r="43" spans="8:8" x14ac:dyDescent="0.35">
      <c r="H43" s="34"/>
    </row>
    <row r="44" spans="8:8" x14ac:dyDescent="0.35">
      <c r="H44" s="34"/>
    </row>
    <row r="45" spans="8:8" x14ac:dyDescent="0.35">
      <c r="H45" s="34"/>
    </row>
    <row r="46" spans="8:8" x14ac:dyDescent="0.35">
      <c r="H46" s="34"/>
    </row>
    <row r="47" spans="8:8" x14ac:dyDescent="0.35">
      <c r="H47" s="34"/>
    </row>
    <row r="48" spans="8:8" x14ac:dyDescent="0.35">
      <c r="H48" s="34"/>
    </row>
    <row r="49" spans="2:8" x14ac:dyDescent="0.35">
      <c r="H49" s="34"/>
    </row>
    <row r="50" spans="2:8" x14ac:dyDescent="0.35">
      <c r="H50" s="34"/>
    </row>
    <row r="51" spans="2:8" x14ac:dyDescent="0.35">
      <c r="H51" s="34"/>
    </row>
    <row r="52" spans="2:8" x14ac:dyDescent="0.35">
      <c r="B52" s="143" t="s">
        <v>261</v>
      </c>
      <c r="H52" s="34"/>
    </row>
    <row r="53" spans="2:8" x14ac:dyDescent="0.35">
      <c r="H53" s="34"/>
    </row>
    <row r="54" spans="2:8" x14ac:dyDescent="0.35">
      <c r="H54" s="34"/>
    </row>
    <row r="55" spans="2:8" x14ac:dyDescent="0.35">
      <c r="H55" s="34"/>
    </row>
    <row r="56" spans="2:8" x14ac:dyDescent="0.35">
      <c r="H56" s="34"/>
    </row>
    <row r="57" spans="2:8" x14ac:dyDescent="0.35">
      <c r="H57" s="34"/>
    </row>
    <row r="58" spans="2:8" x14ac:dyDescent="0.35">
      <c r="H58" s="34"/>
    </row>
    <row r="59" spans="2:8" x14ac:dyDescent="0.35">
      <c r="H59" s="34"/>
    </row>
    <row r="60" spans="2:8" x14ac:dyDescent="0.35">
      <c r="H60" s="34"/>
    </row>
    <row r="61" spans="2:8" x14ac:dyDescent="0.35">
      <c r="H61" s="34"/>
    </row>
    <row r="62" spans="2:8" x14ac:dyDescent="0.35">
      <c r="H62" s="34"/>
    </row>
    <row r="63" spans="2:8" x14ac:dyDescent="0.35">
      <c r="H63" s="34"/>
    </row>
    <row r="64" spans="2:8" x14ac:dyDescent="0.35">
      <c r="H64" s="34"/>
    </row>
    <row r="65" spans="2:8" ht="15.5" x14ac:dyDescent="0.35">
      <c r="B65" s="70"/>
      <c r="H65" s="34"/>
    </row>
    <row r="66" spans="2:8" x14ac:dyDescent="0.35">
      <c r="H66" s="34"/>
    </row>
    <row r="67" spans="2:8" x14ac:dyDescent="0.35">
      <c r="H67" s="34"/>
    </row>
    <row r="68" spans="2:8" x14ac:dyDescent="0.35">
      <c r="H68" s="34"/>
    </row>
    <row r="69" spans="2:8" x14ac:dyDescent="0.35">
      <c r="H69" s="34"/>
    </row>
    <row r="70" spans="2:8" x14ac:dyDescent="0.35">
      <c r="H70" s="34"/>
    </row>
    <row r="71" spans="2:8" x14ac:dyDescent="0.35">
      <c r="H71" s="34"/>
    </row>
    <row r="72" spans="2:8" x14ac:dyDescent="0.35">
      <c r="H72" s="34"/>
    </row>
    <row r="73" spans="2:8" x14ac:dyDescent="0.35">
      <c r="H73" s="34"/>
    </row>
    <row r="74" spans="2:8" x14ac:dyDescent="0.35">
      <c r="H74" s="34"/>
    </row>
    <row r="75" spans="2:8" x14ac:dyDescent="0.35">
      <c r="H75" s="34"/>
    </row>
    <row r="76" spans="2:8" x14ac:dyDescent="0.35">
      <c r="H76" s="34"/>
    </row>
    <row r="77" spans="2:8" x14ac:dyDescent="0.35">
      <c r="H77" s="34"/>
    </row>
    <row r="78" spans="2:8" x14ac:dyDescent="0.35">
      <c r="H78" s="34"/>
    </row>
    <row r="79" spans="2:8" x14ac:dyDescent="0.35">
      <c r="H79" s="34"/>
    </row>
    <row r="80" spans="2:8" x14ac:dyDescent="0.35">
      <c r="H80" s="34"/>
    </row>
    <row r="81" spans="8:8" x14ac:dyDescent="0.35">
      <c r="H81" s="34"/>
    </row>
    <row r="82" spans="8:8" x14ac:dyDescent="0.35">
      <c r="H82" s="34"/>
    </row>
    <row r="83" spans="8:8" x14ac:dyDescent="0.35">
      <c r="H83" s="34"/>
    </row>
    <row r="84" spans="8:8" x14ac:dyDescent="0.35">
      <c r="H84" s="34"/>
    </row>
    <row r="85" spans="8:8" x14ac:dyDescent="0.35">
      <c r="H85" s="34"/>
    </row>
    <row r="86" spans="8:8" x14ac:dyDescent="0.35">
      <c r="H86" s="34"/>
    </row>
    <row r="87" spans="8:8" x14ac:dyDescent="0.35">
      <c r="H87" s="34"/>
    </row>
    <row r="88" spans="8:8" x14ac:dyDescent="0.35">
      <c r="H88" s="34"/>
    </row>
    <row r="89" spans="8:8" x14ac:dyDescent="0.35">
      <c r="H89" s="34"/>
    </row>
    <row r="90" spans="8:8" x14ac:dyDescent="0.35">
      <c r="H90" s="34"/>
    </row>
    <row r="91" spans="8:8" x14ac:dyDescent="0.35">
      <c r="H91" s="34"/>
    </row>
    <row r="92" spans="8:8" x14ac:dyDescent="0.35">
      <c r="H92" s="34"/>
    </row>
    <row r="93" spans="8:8" x14ac:dyDescent="0.35">
      <c r="H93" s="34"/>
    </row>
    <row r="94" spans="8:8" x14ac:dyDescent="0.35">
      <c r="H94" s="34"/>
    </row>
    <row r="95" spans="8:8" x14ac:dyDescent="0.35">
      <c r="H95" s="34"/>
    </row>
    <row r="96" spans="8:8" x14ac:dyDescent="0.35">
      <c r="H96" s="34"/>
    </row>
    <row r="97" spans="8:8" x14ac:dyDescent="0.35">
      <c r="H97" s="34"/>
    </row>
    <row r="98" spans="8:8" x14ac:dyDescent="0.35">
      <c r="H98" s="34"/>
    </row>
    <row r="99" spans="8:8" x14ac:dyDescent="0.35">
      <c r="H99" s="34"/>
    </row>
    <row r="100" spans="8:8" x14ac:dyDescent="0.35">
      <c r="H100" s="34"/>
    </row>
    <row r="101" spans="8:8" x14ac:dyDescent="0.35">
      <c r="H101" s="34"/>
    </row>
    <row r="102" spans="8:8" x14ac:dyDescent="0.35">
      <c r="H102" s="34"/>
    </row>
    <row r="103" spans="8:8" x14ac:dyDescent="0.35">
      <c r="H103" s="34"/>
    </row>
    <row r="104" spans="8:8" x14ac:dyDescent="0.35">
      <c r="H104" s="34"/>
    </row>
    <row r="105" spans="8:8" x14ac:dyDescent="0.35">
      <c r="H105" s="34"/>
    </row>
    <row r="106" spans="8:8" x14ac:dyDescent="0.35">
      <c r="H106" s="34"/>
    </row>
    <row r="107" spans="8:8" x14ac:dyDescent="0.35">
      <c r="H107" s="34"/>
    </row>
    <row r="108" spans="8:8" x14ac:dyDescent="0.35">
      <c r="H108" s="34"/>
    </row>
    <row r="109" spans="8:8" x14ac:dyDescent="0.35">
      <c r="H109" s="34"/>
    </row>
    <row r="110" spans="8:8" x14ac:dyDescent="0.35">
      <c r="H110" s="34"/>
    </row>
    <row r="111" spans="8:8" x14ac:dyDescent="0.35">
      <c r="H111" s="34"/>
    </row>
    <row r="112" spans="8:8" x14ac:dyDescent="0.35">
      <c r="H112" s="34"/>
    </row>
    <row r="113" spans="1:8" x14ac:dyDescent="0.35">
      <c r="H113" s="34"/>
    </row>
    <row r="114" spans="1:8" x14ac:dyDescent="0.35">
      <c r="H114" s="34"/>
    </row>
    <row r="115" spans="1:8" x14ac:dyDescent="0.35">
      <c r="H115" s="34"/>
    </row>
    <row r="116" spans="1:8" x14ac:dyDescent="0.35">
      <c r="H116" s="34"/>
    </row>
    <row r="117" spans="1:8" x14ac:dyDescent="0.35">
      <c r="H117" s="34"/>
    </row>
    <row r="118" spans="1:8" x14ac:dyDescent="0.35">
      <c r="H118" s="34"/>
    </row>
    <row r="119" spans="1:8" x14ac:dyDescent="0.35">
      <c r="H119" s="34"/>
    </row>
    <row r="120" spans="1:8" x14ac:dyDescent="0.35">
      <c r="H120" s="34"/>
    </row>
    <row r="121" spans="1:8" x14ac:dyDescent="0.35">
      <c r="H121" s="34"/>
    </row>
    <row r="122" spans="1:8" x14ac:dyDescent="0.35">
      <c r="A122" s="37"/>
      <c r="B122" s="37"/>
      <c r="C122" s="37"/>
      <c r="D122" s="37"/>
      <c r="E122" s="37"/>
      <c r="F122" s="37"/>
      <c r="G122" s="37"/>
      <c r="H122" s="38"/>
    </row>
    <row r="123" spans="1:8" ht="31" customHeight="1" thickBot="1" x14ac:dyDescent="0.4">
      <c r="B123" s="312" t="s">
        <v>267</v>
      </c>
      <c r="H123" s="34"/>
    </row>
    <row r="124" spans="1:8" x14ac:dyDescent="0.35">
      <c r="H124" s="34"/>
    </row>
    <row r="125" spans="1:8" x14ac:dyDescent="0.35">
      <c r="H125" s="34"/>
    </row>
    <row r="126" spans="1:8" x14ac:dyDescent="0.35">
      <c r="H126" s="34"/>
    </row>
    <row r="127" spans="1:8" x14ac:dyDescent="0.35">
      <c r="H127" s="34"/>
    </row>
    <row r="128" spans="1:8" x14ac:dyDescent="0.35">
      <c r="H128" s="34"/>
    </row>
    <row r="129" spans="8:8" x14ac:dyDescent="0.35">
      <c r="H129" s="34"/>
    </row>
    <row r="130" spans="8:8" ht="21.65" customHeight="1" x14ac:dyDescent="0.35">
      <c r="H130" s="34"/>
    </row>
    <row r="131" spans="8:8" x14ac:dyDescent="0.35">
      <c r="H131" s="34"/>
    </row>
    <row r="132" spans="8:8" x14ac:dyDescent="0.35">
      <c r="H132" s="34"/>
    </row>
    <row r="133" spans="8:8" x14ac:dyDescent="0.35">
      <c r="H133" s="34"/>
    </row>
    <row r="134" spans="8:8" x14ac:dyDescent="0.35">
      <c r="H134" s="34"/>
    </row>
    <row r="135" spans="8:8" x14ac:dyDescent="0.35">
      <c r="H135" s="34"/>
    </row>
    <row r="136" spans="8:8" x14ac:dyDescent="0.35">
      <c r="H136" s="34"/>
    </row>
    <row r="137" spans="8:8" x14ac:dyDescent="0.35">
      <c r="H137" s="34"/>
    </row>
    <row r="138" spans="8:8" x14ac:dyDescent="0.35">
      <c r="H138" s="34"/>
    </row>
    <row r="139" spans="8:8" x14ac:dyDescent="0.35">
      <c r="H139" s="34"/>
    </row>
    <row r="140" spans="8:8" ht="19" customHeight="1" x14ac:dyDescent="0.35">
      <c r="H140" s="34"/>
    </row>
    <row r="141" spans="8:8" x14ac:dyDescent="0.35">
      <c r="H141" s="34"/>
    </row>
    <row r="142" spans="8:8" x14ac:dyDescent="0.35">
      <c r="H142" s="34"/>
    </row>
    <row r="143" spans="8:8" x14ac:dyDescent="0.35">
      <c r="H143" s="34"/>
    </row>
    <row r="144" spans="8:8" x14ac:dyDescent="0.35">
      <c r="H144" s="34"/>
    </row>
    <row r="145" spans="8:8" x14ac:dyDescent="0.35">
      <c r="H145" s="34"/>
    </row>
    <row r="146" spans="8:8" x14ac:dyDescent="0.35">
      <c r="H146" s="34"/>
    </row>
    <row r="147" spans="8:8" x14ac:dyDescent="0.35">
      <c r="H147" s="34"/>
    </row>
    <row r="148" spans="8:8" x14ac:dyDescent="0.35">
      <c r="H148" s="34"/>
    </row>
    <row r="149" spans="8:8" x14ac:dyDescent="0.35">
      <c r="H149" s="34"/>
    </row>
    <row r="150" spans="8:8" x14ac:dyDescent="0.35">
      <c r="H150" s="34"/>
    </row>
    <row r="151" spans="8:8" x14ac:dyDescent="0.35">
      <c r="H151" s="34"/>
    </row>
    <row r="152" spans="8:8" x14ac:dyDescent="0.35">
      <c r="H152" s="34"/>
    </row>
    <row r="153" spans="8:8" x14ac:dyDescent="0.35">
      <c r="H153" s="34"/>
    </row>
    <row r="154" spans="8:8" x14ac:dyDescent="0.35">
      <c r="H154" s="34"/>
    </row>
    <row r="155" spans="8:8" x14ac:dyDescent="0.35">
      <c r="H155" s="34"/>
    </row>
    <row r="156" spans="8:8" x14ac:dyDescent="0.35">
      <c r="H156" s="34"/>
    </row>
    <row r="157" spans="8:8" x14ac:dyDescent="0.35">
      <c r="H157" s="34"/>
    </row>
    <row r="158" spans="8:8" x14ac:dyDescent="0.35">
      <c r="H158" s="34"/>
    </row>
    <row r="159" spans="8:8" x14ac:dyDescent="0.35">
      <c r="H159" s="34"/>
    </row>
    <row r="160" spans="8:8" x14ac:dyDescent="0.35">
      <c r="H160" s="34"/>
    </row>
    <row r="161" spans="1:15" x14ac:dyDescent="0.35">
      <c r="H161" s="34"/>
    </row>
    <row r="162" spans="1:15" x14ac:dyDescent="0.35">
      <c r="H162" s="34"/>
    </row>
    <row r="163" spans="1:15" x14ac:dyDescent="0.35">
      <c r="H163" s="34"/>
    </row>
    <row r="164" spans="1:15" x14ac:dyDescent="0.35">
      <c r="H164" s="34"/>
    </row>
    <row r="165" spans="1:15" x14ac:dyDescent="0.35">
      <c r="H165" s="34"/>
    </row>
    <row r="166" spans="1:15" x14ac:dyDescent="0.35">
      <c r="H166" s="34"/>
    </row>
    <row r="167" spans="1:15" x14ac:dyDescent="0.35">
      <c r="H167" s="34"/>
    </row>
    <row r="168" spans="1:15" x14ac:dyDescent="0.35">
      <c r="H168" s="34"/>
    </row>
    <row r="169" spans="1:15" x14ac:dyDescent="0.35">
      <c r="H169" s="34"/>
    </row>
    <row r="170" spans="1:15" ht="41.5" customHeight="1" x14ac:dyDescent="0.35">
      <c r="A170" s="15"/>
      <c r="B170" s="71"/>
      <c r="C170" s="71"/>
      <c r="H170" s="34"/>
      <c r="I170" s="1"/>
      <c r="J170" s="1"/>
      <c r="K170" s="1"/>
      <c r="L170" s="1"/>
      <c r="M170" s="1"/>
      <c r="N170" s="1"/>
      <c r="O170" s="1"/>
    </row>
    <row r="171" spans="1:15" ht="13.5" customHeight="1" x14ac:dyDescent="0.35">
      <c r="A171" s="15"/>
      <c r="B171" s="72"/>
      <c r="C171" s="73"/>
      <c r="H171" s="34"/>
      <c r="I171" s="1"/>
      <c r="J171" s="1"/>
      <c r="K171" s="1"/>
      <c r="L171" s="1"/>
      <c r="M171" s="1"/>
      <c r="N171" s="1"/>
      <c r="O171" s="1"/>
    </row>
    <row r="172" spans="1:15" ht="31" x14ac:dyDescent="0.35">
      <c r="A172" s="15"/>
      <c r="B172" s="74"/>
      <c r="C172" s="74"/>
      <c r="H172" s="34"/>
      <c r="I172" s="1"/>
      <c r="J172" s="1"/>
      <c r="K172" s="1"/>
      <c r="L172" s="1"/>
      <c r="M172" s="1"/>
      <c r="N172" s="1"/>
      <c r="O172" s="1"/>
    </row>
    <row r="173" spans="1:15" ht="98.15" customHeight="1" x14ac:dyDescent="0.35">
      <c r="A173" s="15"/>
      <c r="H173" s="34"/>
      <c r="I173" s="1"/>
      <c r="J173" s="1"/>
      <c r="K173" s="1"/>
      <c r="L173" s="1"/>
      <c r="M173" s="1"/>
      <c r="N173" s="1"/>
      <c r="O173" s="1"/>
    </row>
    <row r="174" spans="1:15" x14ac:dyDescent="0.35">
      <c r="A174" s="15"/>
      <c r="H174" s="34"/>
      <c r="I174" s="1"/>
      <c r="J174" s="1"/>
      <c r="K174" s="1"/>
      <c r="L174" s="1"/>
      <c r="M174" s="1"/>
      <c r="N174" s="1"/>
      <c r="O174" s="1"/>
    </row>
    <row r="175" spans="1:15" s="75" customFormat="1" ht="26" x14ac:dyDescent="0.6">
      <c r="A175" s="15"/>
      <c r="D175"/>
      <c r="E175"/>
      <c r="G175"/>
      <c r="H175" s="34"/>
      <c r="I175" s="234"/>
      <c r="J175" s="234"/>
      <c r="K175" s="234"/>
      <c r="L175" s="234"/>
      <c r="M175" s="234"/>
      <c r="N175" s="234"/>
      <c r="O175" s="234"/>
    </row>
    <row r="176" spans="1:15" x14ac:dyDescent="0.35">
      <c r="A176" s="15"/>
      <c r="H176" s="34"/>
      <c r="I176" s="1"/>
      <c r="J176" s="1"/>
      <c r="K176" s="1"/>
      <c r="L176" s="1"/>
      <c r="M176" s="1"/>
      <c r="N176" s="1"/>
      <c r="O176" s="1"/>
    </row>
    <row r="177" spans="1:15" x14ac:dyDescent="0.35">
      <c r="A177" s="15"/>
      <c r="H177" s="34"/>
      <c r="I177" s="1"/>
      <c r="J177" s="1"/>
      <c r="K177" s="1"/>
      <c r="L177" s="1"/>
      <c r="M177" s="1"/>
      <c r="N177" s="1"/>
      <c r="O177" s="1"/>
    </row>
    <row r="178" spans="1:15" x14ac:dyDescent="0.35">
      <c r="A178" s="15"/>
      <c r="H178" s="34"/>
      <c r="I178" s="1"/>
      <c r="J178" s="1"/>
      <c r="K178" s="1"/>
      <c r="L178" s="1"/>
      <c r="M178" s="1"/>
      <c r="N178" s="1"/>
      <c r="O178" s="1"/>
    </row>
    <row r="179" spans="1:15" x14ac:dyDescent="0.35">
      <c r="A179" s="15"/>
      <c r="H179" s="34"/>
      <c r="I179" s="1"/>
      <c r="J179" s="1"/>
      <c r="K179" s="1"/>
      <c r="L179" s="1"/>
      <c r="M179" s="1"/>
      <c r="N179" s="1"/>
      <c r="O179" s="1"/>
    </row>
    <row r="180" spans="1:15" ht="19" customHeight="1" x14ac:dyDescent="0.35">
      <c r="B180" s="76"/>
      <c r="H180" s="34"/>
    </row>
    <row r="181" spans="1:15" x14ac:dyDescent="0.35">
      <c r="B181" s="1"/>
      <c r="H181" s="34"/>
    </row>
    <row r="182" spans="1:15" x14ac:dyDescent="0.35">
      <c r="H182" s="34"/>
    </row>
    <row r="183" spans="1:15" ht="26" x14ac:dyDescent="0.35">
      <c r="F183" s="81"/>
      <c r="H183" s="34"/>
    </row>
    <row r="184" spans="1:15" ht="26" x14ac:dyDescent="0.6">
      <c r="B184" s="1"/>
      <c r="C184" s="75"/>
      <c r="F184" s="81"/>
      <c r="H184" s="34"/>
    </row>
    <row r="185" spans="1:15" x14ac:dyDescent="0.35">
      <c r="H185" s="34"/>
    </row>
    <row r="186" spans="1:15" ht="26" x14ac:dyDescent="0.6">
      <c r="A186" s="15"/>
      <c r="B186" s="1"/>
      <c r="C186" s="75"/>
      <c r="F186" s="81"/>
      <c r="H186" s="34"/>
    </row>
    <row r="187" spans="1:15" ht="26" x14ac:dyDescent="0.6">
      <c r="A187" s="15"/>
      <c r="B187" s="1"/>
      <c r="C187" s="75"/>
      <c r="F187" s="81"/>
      <c r="H187" s="34"/>
    </row>
    <row r="188" spans="1:15" ht="26" x14ac:dyDescent="0.6">
      <c r="A188" s="15"/>
      <c r="B188" s="1"/>
      <c r="C188" s="75"/>
      <c r="F188" s="81"/>
      <c r="H188" s="34"/>
    </row>
    <row r="189" spans="1:15" ht="26" x14ac:dyDescent="0.35">
      <c r="A189" s="15"/>
      <c r="B189" s="1"/>
      <c r="C189" s="81"/>
      <c r="F189" s="81"/>
      <c r="H189" s="34"/>
    </row>
    <row r="190" spans="1:15" x14ac:dyDescent="0.35">
      <c r="H190" s="34"/>
    </row>
    <row r="191" spans="1:15" ht="26" x14ac:dyDescent="0.6">
      <c r="A191" s="15"/>
      <c r="B191" s="1"/>
      <c r="C191" s="75"/>
      <c r="F191" s="81"/>
      <c r="H191" s="34"/>
    </row>
    <row r="192" spans="1:15" ht="26" x14ac:dyDescent="0.6">
      <c r="A192" s="15"/>
      <c r="B192" s="1"/>
      <c r="C192" s="75"/>
      <c r="F192" s="81"/>
      <c r="H192" s="34"/>
    </row>
    <row r="193" spans="1:15" ht="26" x14ac:dyDescent="0.6">
      <c r="A193" s="15"/>
      <c r="B193" s="1"/>
      <c r="C193" s="75"/>
      <c r="F193" s="81"/>
      <c r="H193" s="34"/>
    </row>
    <row r="194" spans="1:15" ht="26" x14ac:dyDescent="0.6">
      <c r="A194" s="15"/>
      <c r="B194" s="1"/>
      <c r="C194" s="75"/>
      <c r="F194" s="81"/>
      <c r="H194" s="34"/>
    </row>
    <row r="195" spans="1:15" ht="26" x14ac:dyDescent="0.6">
      <c r="A195" s="15"/>
      <c r="B195" s="1"/>
      <c r="C195" s="75"/>
      <c r="F195" s="81"/>
      <c r="H195" s="34"/>
    </row>
    <row r="196" spans="1:15" ht="26" x14ac:dyDescent="0.6">
      <c r="A196" s="15"/>
      <c r="B196" s="1"/>
      <c r="C196" s="75"/>
      <c r="F196" s="81"/>
      <c r="H196" s="34"/>
    </row>
    <row r="197" spans="1:15" ht="26" x14ac:dyDescent="0.6">
      <c r="A197" s="15"/>
      <c r="B197" s="1"/>
      <c r="C197" s="75"/>
      <c r="F197" s="81"/>
      <c r="H197" s="34"/>
    </row>
    <row r="198" spans="1:15" ht="26" x14ac:dyDescent="0.6">
      <c r="A198" s="15"/>
      <c r="B198" s="1"/>
      <c r="C198" s="75"/>
      <c r="F198" s="81"/>
      <c r="H198" s="34"/>
    </row>
    <row r="199" spans="1:15" x14ac:dyDescent="0.35">
      <c r="B199" s="1"/>
      <c r="H199" s="34"/>
    </row>
    <row r="200" spans="1:15" x14ac:dyDescent="0.35">
      <c r="H200" s="34"/>
    </row>
    <row r="201" spans="1:15" x14ac:dyDescent="0.35">
      <c r="A201" s="15"/>
      <c r="B201" s="1"/>
      <c r="H201" s="34"/>
    </row>
    <row r="202" spans="1:15" x14ac:dyDescent="0.35">
      <c r="A202" s="15"/>
      <c r="B202" s="1"/>
      <c r="H202" s="34"/>
    </row>
    <row r="203" spans="1:15" ht="26" x14ac:dyDescent="0.6">
      <c r="A203" s="77"/>
      <c r="B203" s="78"/>
      <c r="C203" s="79"/>
      <c r="D203" s="37"/>
      <c r="E203" s="37"/>
      <c r="F203" s="80"/>
      <c r="G203" s="80"/>
      <c r="H203" s="34"/>
    </row>
    <row r="204" spans="1:15" ht="42.65" customHeight="1" x14ac:dyDescent="0.35">
      <c r="A204" s="15"/>
      <c r="B204" s="1"/>
      <c r="C204" s="1"/>
      <c r="H204" s="1"/>
      <c r="I204" s="1"/>
      <c r="J204" s="1"/>
      <c r="K204" s="1"/>
      <c r="L204" s="1"/>
      <c r="M204" s="1"/>
      <c r="N204" s="1"/>
      <c r="O204" s="1"/>
    </row>
    <row r="205" spans="1:15" x14ac:dyDescent="0.35">
      <c r="A205" s="15"/>
      <c r="B205" s="1"/>
      <c r="H205" s="1"/>
      <c r="I205" s="1"/>
      <c r="J205" s="1"/>
      <c r="K205" s="1"/>
      <c r="L205" s="1"/>
      <c r="M205" s="1"/>
      <c r="N205" s="1"/>
      <c r="O205" s="1"/>
    </row>
    <row r="206" spans="1:15" x14ac:dyDescent="0.35">
      <c r="A206" s="15"/>
      <c r="B206" s="1"/>
      <c r="C206" s="1"/>
      <c r="H206" s="1"/>
      <c r="I206" s="1"/>
      <c r="J206" s="1"/>
      <c r="K206" s="1"/>
      <c r="L206" s="1"/>
      <c r="M206" s="1"/>
      <c r="N206" s="1"/>
      <c r="O206" s="1"/>
    </row>
    <row r="207" spans="1:15" x14ac:dyDescent="0.35">
      <c r="A207" s="15"/>
      <c r="B207" s="1"/>
      <c r="C207" s="1"/>
      <c r="H207" s="1"/>
      <c r="I207" s="1"/>
      <c r="J207" s="1"/>
      <c r="K207" s="1"/>
      <c r="L207" s="1"/>
      <c r="M207" s="1"/>
      <c r="N207" s="1"/>
      <c r="O207" s="1"/>
    </row>
    <row r="208" spans="1:15" x14ac:dyDescent="0.35">
      <c r="A208" s="15"/>
      <c r="B208" s="1"/>
      <c r="C208" s="1"/>
      <c r="H208" s="1"/>
      <c r="I208" s="1"/>
      <c r="J208" s="1"/>
      <c r="K208" s="1"/>
      <c r="L208" s="1"/>
      <c r="M208" s="1"/>
      <c r="N208" s="1"/>
      <c r="O208" s="1"/>
    </row>
    <row r="209" spans="1:15" x14ac:dyDescent="0.35">
      <c r="A209" s="15"/>
      <c r="B209" s="1"/>
      <c r="C209" s="1"/>
      <c r="H209" s="1"/>
      <c r="I209" s="1"/>
      <c r="J209" s="1"/>
      <c r="K209" s="1"/>
      <c r="L209" s="1"/>
      <c r="M209" s="1"/>
      <c r="N209" s="1"/>
      <c r="O209" s="1"/>
    </row>
    <row r="210" spans="1:15" x14ac:dyDescent="0.35">
      <c r="A210" s="15"/>
      <c r="B210" s="1"/>
      <c r="C210" s="1"/>
      <c r="H210" s="1"/>
      <c r="I210" s="1"/>
      <c r="J210" s="1"/>
      <c r="K210" s="1"/>
      <c r="L210" s="1"/>
      <c r="M210" s="1"/>
      <c r="N210" s="1"/>
      <c r="O210" s="1"/>
    </row>
    <row r="211" spans="1:15" x14ac:dyDescent="0.35">
      <c r="A211" s="15"/>
      <c r="B211" s="1"/>
      <c r="C211" s="1"/>
      <c r="H211" s="1"/>
      <c r="I211" s="1"/>
      <c r="J211" s="1"/>
      <c r="K211" s="1"/>
      <c r="L211" s="1"/>
      <c r="M211" s="1"/>
      <c r="N211" s="1"/>
      <c r="O211" s="1"/>
    </row>
    <row r="212" spans="1:15" x14ac:dyDescent="0.35">
      <c r="A212" s="15"/>
      <c r="B212" s="1"/>
      <c r="C212" s="1"/>
      <c r="H212" s="1"/>
      <c r="I212" s="1"/>
      <c r="J212" s="1"/>
      <c r="K212" s="1"/>
      <c r="L212" s="1"/>
      <c r="M212" s="1"/>
      <c r="N212" s="1"/>
      <c r="O212" s="1"/>
    </row>
    <row r="213" spans="1:15" x14ac:dyDescent="0.35">
      <c r="A213" s="15"/>
      <c r="B213" s="1"/>
      <c r="C213" s="1"/>
      <c r="H213" s="1"/>
      <c r="I213" s="1"/>
      <c r="J213" s="1"/>
      <c r="K213" s="1"/>
      <c r="L213" s="1"/>
      <c r="M213" s="1"/>
      <c r="N213" s="1"/>
      <c r="O213" s="1"/>
    </row>
    <row r="214" spans="1:15" x14ac:dyDescent="0.35">
      <c r="A214" s="15"/>
      <c r="B214" s="1"/>
      <c r="C214" s="1"/>
      <c r="D214" s="1"/>
      <c r="F214" s="1"/>
      <c r="H214" s="1"/>
      <c r="I214" s="1"/>
      <c r="J214" s="1"/>
      <c r="K214" s="1"/>
      <c r="L214" s="1"/>
      <c r="M214" s="1"/>
      <c r="N214" s="1"/>
      <c r="O214" s="1"/>
    </row>
    <row r="215" spans="1:15" x14ac:dyDescent="0.35">
      <c r="A215" s="15"/>
      <c r="B215" s="1"/>
      <c r="C215" s="1"/>
      <c r="D215" s="1"/>
      <c r="F215" s="1"/>
      <c r="H215" s="1"/>
      <c r="I215" s="1"/>
      <c r="J215" s="1"/>
      <c r="K215" s="1"/>
      <c r="L215" s="1"/>
      <c r="M215" s="1"/>
      <c r="N215" s="1"/>
      <c r="O215" s="1"/>
    </row>
    <row r="216" spans="1:15" x14ac:dyDescent="0.35">
      <c r="A216" s="15"/>
      <c r="B216" s="1"/>
      <c r="C216" s="1"/>
      <c r="D216" s="1"/>
      <c r="F216" s="1"/>
      <c r="H216" s="1"/>
      <c r="I216" s="1"/>
      <c r="J216" s="1"/>
      <c r="K216" s="1"/>
      <c r="L216" s="1"/>
      <c r="M216" s="1"/>
      <c r="N216" s="1"/>
      <c r="O216" s="1"/>
    </row>
    <row r="217" spans="1:15" x14ac:dyDescent="0.35">
      <c r="A217" s="15"/>
      <c r="B217" s="1"/>
      <c r="C217" s="1"/>
      <c r="D217" s="1"/>
      <c r="F217" s="1"/>
      <c r="H217" s="1"/>
      <c r="I217" s="1"/>
      <c r="J217" s="1"/>
      <c r="K217" s="1"/>
      <c r="L217" s="1"/>
      <c r="M217" s="1"/>
      <c r="N217" s="1"/>
      <c r="O217" s="1"/>
    </row>
    <row r="218" spans="1:15" x14ac:dyDescent="0.35">
      <c r="A218" s="15"/>
      <c r="B218" s="1"/>
      <c r="C218" s="1"/>
      <c r="D218" s="1"/>
      <c r="F218" s="1"/>
      <c r="H218" s="1"/>
      <c r="I218" s="1"/>
      <c r="J218" s="1"/>
      <c r="K218" s="1"/>
      <c r="L218" s="1"/>
      <c r="M218" s="1"/>
      <c r="N218" s="1"/>
      <c r="O218" s="1"/>
    </row>
    <row r="219" spans="1:15" x14ac:dyDescent="0.35">
      <c r="D219" s="1"/>
      <c r="F219" s="1"/>
      <c r="H219" s="1"/>
      <c r="I219" s="1"/>
      <c r="J219" s="1"/>
      <c r="K219" s="1"/>
      <c r="L219" s="1"/>
      <c r="M219" s="1"/>
      <c r="N219" s="1"/>
      <c r="O219" s="1"/>
    </row>
    <row r="220" spans="1:15" x14ac:dyDescent="0.35">
      <c r="A220" s="15"/>
      <c r="B220" s="1"/>
      <c r="C220" s="1"/>
      <c r="D220" s="1"/>
      <c r="F220" s="1"/>
      <c r="H220" s="1"/>
      <c r="I220" s="1"/>
      <c r="J220" s="1"/>
      <c r="K220" s="1"/>
      <c r="L220" s="1"/>
      <c r="M220" s="1"/>
      <c r="N220" s="1"/>
      <c r="O220" s="1"/>
    </row>
    <row r="221" spans="1:15" x14ac:dyDescent="0.35">
      <c r="A221" s="77"/>
      <c r="B221" s="1"/>
      <c r="C221" s="1"/>
      <c r="D221" s="1"/>
      <c r="F221" s="1"/>
      <c r="H221" s="1"/>
      <c r="I221" s="1"/>
      <c r="J221" s="1"/>
      <c r="K221" s="1"/>
      <c r="L221" s="1"/>
      <c r="M221" s="1"/>
      <c r="N221" s="1"/>
      <c r="O221" s="1"/>
    </row>
    <row r="222" spans="1:15" x14ac:dyDescent="0.35">
      <c r="D222" s="1"/>
      <c r="F222" s="1"/>
      <c r="H222" s="1"/>
      <c r="I222" s="1"/>
      <c r="J222" s="1"/>
      <c r="K222" s="1"/>
      <c r="L222" s="1"/>
      <c r="M222" s="1"/>
      <c r="N222" s="1"/>
      <c r="O222" s="1"/>
    </row>
    <row r="223" spans="1:15" x14ac:dyDescent="0.35">
      <c r="B223" s="1"/>
      <c r="C223" s="1"/>
      <c r="D223" s="1"/>
      <c r="F223" s="1"/>
      <c r="H223" s="1"/>
      <c r="I223" s="1"/>
      <c r="J223" s="1"/>
      <c r="K223" s="1"/>
      <c r="L223" s="1"/>
      <c r="M223" s="1"/>
      <c r="N223" s="1"/>
      <c r="O223" s="1"/>
    </row>
    <row r="224" spans="1:15" x14ac:dyDescent="0.35">
      <c r="A224" s="15"/>
      <c r="B224" s="1"/>
      <c r="C224" s="1"/>
      <c r="D224" s="1"/>
      <c r="F224" s="1"/>
      <c r="H224" s="1"/>
      <c r="I224" s="1"/>
      <c r="J224" s="1"/>
      <c r="K224" s="1"/>
      <c r="L224" s="1"/>
      <c r="M224" s="1"/>
      <c r="N224" s="1"/>
      <c r="O224" s="1"/>
    </row>
    <row r="225" spans="1:15" x14ac:dyDescent="0.35">
      <c r="A225" s="1"/>
      <c r="B225" s="1"/>
      <c r="C225" s="1"/>
      <c r="D225" s="1"/>
      <c r="E225" s="1"/>
      <c r="F225" s="1"/>
      <c r="H225" s="1"/>
      <c r="I225" s="1"/>
      <c r="J225" s="1"/>
      <c r="K225" s="1"/>
      <c r="L225" s="1"/>
      <c r="M225" s="1"/>
      <c r="N225" s="1"/>
      <c r="O225" s="1"/>
    </row>
    <row r="226" spans="1:15" x14ac:dyDescent="0.35">
      <c r="A226" s="15"/>
      <c r="B226" s="1"/>
      <c r="C226" s="1"/>
      <c r="D226" s="1"/>
      <c r="F226" s="1"/>
      <c r="H226" s="1"/>
      <c r="I226" s="1"/>
      <c r="J226" s="1"/>
      <c r="K226" s="1"/>
      <c r="L226" s="1"/>
      <c r="M226" s="1"/>
      <c r="N226" s="1"/>
      <c r="O226" s="1"/>
    </row>
    <row r="227" spans="1:15" x14ac:dyDescent="0.35">
      <c r="A227" s="15"/>
      <c r="B227" s="1"/>
      <c r="C227" s="1"/>
      <c r="D227" s="1"/>
      <c r="F227" s="1"/>
      <c r="H227" s="1"/>
      <c r="I227" s="1"/>
      <c r="J227" s="1"/>
      <c r="K227" s="1"/>
      <c r="L227" s="1"/>
      <c r="M227" s="1"/>
      <c r="N227" s="1"/>
      <c r="O227" s="1"/>
    </row>
    <row r="228" spans="1:15" x14ac:dyDescent="0.35">
      <c r="A228" s="15"/>
      <c r="B228" s="1"/>
      <c r="C228" s="1"/>
      <c r="D228" s="1"/>
      <c r="F228" s="1"/>
      <c r="H228" s="1"/>
      <c r="I228" s="1"/>
      <c r="J228" s="1"/>
      <c r="K228" s="1"/>
      <c r="L228" s="1"/>
      <c r="M228" s="1"/>
      <c r="N228" s="1"/>
      <c r="O228" s="1"/>
    </row>
    <row r="229" spans="1:15" x14ac:dyDescent="0.35">
      <c r="A229" s="15"/>
      <c r="B229" s="1"/>
      <c r="C229" s="1"/>
      <c r="D229" s="1"/>
      <c r="F229" s="1"/>
      <c r="H229" s="1"/>
      <c r="I229" s="1"/>
      <c r="J229" s="1"/>
      <c r="K229" s="1"/>
      <c r="L229" s="1"/>
      <c r="M229" s="1"/>
      <c r="N229" s="1"/>
      <c r="O229" s="1"/>
    </row>
    <row r="230" spans="1:15" x14ac:dyDescent="0.35">
      <c r="A230" s="15"/>
      <c r="B230" s="1"/>
      <c r="C230" s="1"/>
      <c r="D230" s="1"/>
      <c r="F230" s="82"/>
      <c r="H230" s="1"/>
      <c r="I230" s="1"/>
      <c r="J230" s="1"/>
      <c r="K230" s="1"/>
      <c r="L230" s="1"/>
      <c r="M230" s="1"/>
      <c r="N230" s="1"/>
      <c r="O230" s="1"/>
    </row>
    <row r="231" spans="1:15" x14ac:dyDescent="0.35">
      <c r="A231" s="15"/>
      <c r="B231" s="1"/>
      <c r="C231" s="1"/>
      <c r="D231" s="1"/>
      <c r="F231" s="1"/>
      <c r="H231" s="1"/>
      <c r="I231" s="1"/>
      <c r="J231" s="1"/>
      <c r="K231" s="1"/>
      <c r="L231" s="1"/>
      <c r="M231" s="1"/>
      <c r="N231" s="1"/>
      <c r="O231" s="1"/>
    </row>
    <row r="232" spans="1:15" x14ac:dyDescent="0.35">
      <c r="A232" s="15"/>
      <c r="B232" s="1"/>
      <c r="C232" s="1"/>
      <c r="D232" s="1"/>
      <c r="F232" s="1"/>
      <c r="H232" s="1"/>
      <c r="I232" s="1"/>
      <c r="J232" s="1"/>
      <c r="K232" s="1"/>
      <c r="L232" s="1"/>
      <c r="M232" s="1"/>
      <c r="N232" s="1"/>
      <c r="O232" s="1"/>
    </row>
    <row r="233" spans="1:15" x14ac:dyDescent="0.35">
      <c r="A233" s="15"/>
      <c r="B233" s="1"/>
      <c r="C233" s="1"/>
      <c r="D233" s="1"/>
      <c r="F233" s="1"/>
      <c r="H233" s="1"/>
      <c r="I233" s="1"/>
      <c r="J233" s="1"/>
      <c r="K233" s="1"/>
      <c r="L233" s="1"/>
      <c r="M233" s="1"/>
      <c r="N233" s="1"/>
      <c r="O233" s="1"/>
    </row>
    <row r="234" spans="1:15" x14ac:dyDescent="0.35">
      <c r="A234" s="15"/>
      <c r="B234" s="1"/>
      <c r="C234" s="1"/>
      <c r="D234" s="1"/>
      <c r="E234" s="1"/>
      <c r="F234" s="1"/>
      <c r="H234" s="1"/>
      <c r="I234" s="1"/>
      <c r="J234" s="1"/>
      <c r="K234" s="1"/>
      <c r="L234" s="1"/>
      <c r="M234" s="1"/>
      <c r="N234" s="1"/>
      <c r="O234" s="1"/>
    </row>
    <row r="235" spans="1:15" x14ac:dyDescent="0.35">
      <c r="A235" s="15"/>
      <c r="B235" s="1"/>
      <c r="C235" s="1"/>
      <c r="D235" s="1"/>
      <c r="H235" s="1"/>
      <c r="I235" s="1"/>
      <c r="J235" s="1"/>
      <c r="K235" s="1"/>
      <c r="L235" s="1"/>
      <c r="M235" s="1"/>
      <c r="N235" s="1"/>
      <c r="O235" s="1"/>
    </row>
    <row r="236" spans="1:15" x14ac:dyDescent="0.35">
      <c r="A236" s="15"/>
      <c r="B236" s="1"/>
      <c r="C236" s="1"/>
      <c r="D236" s="1"/>
      <c r="F236" s="1"/>
      <c r="H236" s="1"/>
      <c r="I236" s="1"/>
      <c r="J236" s="1"/>
      <c r="K236" s="1"/>
      <c r="L236" s="1"/>
      <c r="M236" s="1"/>
      <c r="N236" s="1"/>
      <c r="O236" s="1"/>
    </row>
    <row r="237" spans="1:15" x14ac:dyDescent="0.35">
      <c r="A237" s="15"/>
      <c r="B237" s="1"/>
      <c r="C237" s="1"/>
      <c r="D237" s="1"/>
      <c r="F237" s="1"/>
      <c r="H237" s="1"/>
      <c r="I237" s="1"/>
      <c r="J237" s="1"/>
      <c r="K237" s="1"/>
      <c r="L237" s="1"/>
      <c r="M237" s="1"/>
      <c r="N237" s="1"/>
      <c r="O237" s="1"/>
    </row>
    <row r="238" spans="1:15" x14ac:dyDescent="0.35">
      <c r="A238" s="15"/>
      <c r="B238" s="1"/>
      <c r="C238" s="1"/>
      <c r="D238" s="1"/>
      <c r="F238" s="1"/>
      <c r="H238" s="1"/>
      <c r="I238" s="1"/>
      <c r="J238" s="1"/>
      <c r="K238" s="1"/>
      <c r="L238" s="1"/>
      <c r="M238" s="1"/>
      <c r="N238" s="1"/>
      <c r="O238" s="1"/>
    </row>
    <row r="239" spans="1:15" x14ac:dyDescent="0.35">
      <c r="A239" s="15"/>
      <c r="B239" s="1"/>
      <c r="C239" s="1"/>
      <c r="D239" s="1"/>
      <c r="H239" s="1"/>
      <c r="I239" s="1"/>
      <c r="J239" s="1"/>
      <c r="K239" s="1"/>
      <c r="L239" s="1"/>
      <c r="M239" s="1"/>
      <c r="N239" s="1"/>
      <c r="O239" s="1"/>
    </row>
    <row r="240" spans="1:15" x14ac:dyDescent="0.35">
      <c r="A240" s="15"/>
      <c r="B240" s="1"/>
      <c r="C240" s="1"/>
      <c r="D240" s="1"/>
      <c r="F240" s="1"/>
      <c r="H240" s="1"/>
      <c r="I240" s="1"/>
      <c r="J240" s="1"/>
      <c r="K240" s="1"/>
      <c r="L240" s="1"/>
      <c r="M240" s="1"/>
      <c r="N240" s="1"/>
      <c r="O240" s="1"/>
    </row>
    <row r="241" spans="1:15" x14ac:dyDescent="0.35">
      <c r="A241" s="15"/>
      <c r="B241" s="1"/>
      <c r="C241" s="1"/>
      <c r="D241" s="1"/>
      <c r="F241" s="1"/>
      <c r="H241" s="1"/>
      <c r="I241" s="1"/>
      <c r="J241" s="1"/>
      <c r="K241" s="1"/>
      <c r="L241" s="1"/>
      <c r="M241" s="1"/>
      <c r="N241" s="1"/>
      <c r="O241" s="1"/>
    </row>
    <row r="242" spans="1:15" x14ac:dyDescent="0.35">
      <c r="A242" s="15"/>
      <c r="B242" s="1"/>
      <c r="C242" s="1"/>
      <c r="D242" s="1"/>
      <c r="F242" s="1"/>
      <c r="H242" s="1"/>
      <c r="I242" s="1"/>
      <c r="J242" s="1"/>
      <c r="K242" s="1"/>
      <c r="L242" s="1"/>
      <c r="M242" s="1"/>
      <c r="N242" s="1"/>
      <c r="O242" s="1"/>
    </row>
    <row r="243" spans="1:15" x14ac:dyDescent="0.35">
      <c r="A243" s="15"/>
      <c r="B243" s="1"/>
      <c r="C243" s="1"/>
      <c r="D243" s="1"/>
      <c r="F243" s="1"/>
      <c r="H243" s="1"/>
      <c r="I243" s="1"/>
      <c r="J243" s="1"/>
      <c r="K243" s="1"/>
      <c r="L243" s="1"/>
      <c r="M243" s="1"/>
      <c r="N243" s="1"/>
      <c r="O243" s="1"/>
    </row>
    <row r="244" spans="1:15" x14ac:dyDescent="0.35">
      <c r="A244" s="15"/>
      <c r="B244" s="1"/>
      <c r="C244" s="1"/>
      <c r="D244" s="1"/>
      <c r="F244" s="1"/>
      <c r="H244" s="1"/>
      <c r="I244" s="1"/>
      <c r="J244" s="1"/>
      <c r="K244" s="1"/>
      <c r="L244" s="1"/>
      <c r="M244" s="1"/>
      <c r="N244" s="1"/>
      <c r="O244" s="1"/>
    </row>
    <row r="245" spans="1:15" x14ac:dyDescent="0.35">
      <c r="A245" s="15"/>
      <c r="B245" s="1"/>
      <c r="C245" s="1"/>
      <c r="D245" s="1"/>
      <c r="F245" s="1"/>
      <c r="H245" s="1"/>
      <c r="I245" s="1"/>
      <c r="J245" s="1"/>
      <c r="K245" s="1"/>
      <c r="L245" s="1"/>
      <c r="M245" s="1"/>
      <c r="N245" s="1"/>
      <c r="O245" s="1"/>
    </row>
    <row r="246" spans="1:15" x14ac:dyDescent="0.35">
      <c r="A246" s="15"/>
      <c r="B246" s="1"/>
      <c r="C246" s="1"/>
      <c r="D246" s="1"/>
      <c r="F246" s="1"/>
      <c r="H246" s="1"/>
      <c r="I246" s="1"/>
      <c r="J246" s="1"/>
      <c r="K246" s="1"/>
      <c r="L246" s="1"/>
      <c r="M246" s="1"/>
      <c r="N246" s="1"/>
      <c r="O246" s="1"/>
    </row>
    <row r="247" spans="1:15" x14ac:dyDescent="0.35">
      <c r="A247" s="15"/>
      <c r="B247" s="1"/>
      <c r="C247" s="1"/>
      <c r="D247" s="1"/>
      <c r="F247" s="1"/>
      <c r="H247" s="1"/>
      <c r="I247" s="1"/>
      <c r="J247" s="1"/>
      <c r="K247" s="1"/>
      <c r="L247" s="1"/>
      <c r="M247" s="1"/>
      <c r="N247" s="1"/>
      <c r="O247" s="1"/>
    </row>
    <row r="248" spans="1:15" x14ac:dyDescent="0.35">
      <c r="A248" s="15"/>
      <c r="B248" s="1"/>
      <c r="C248" s="1"/>
      <c r="D248" s="1"/>
      <c r="H248" s="1"/>
      <c r="I248" s="1"/>
      <c r="J248" s="1"/>
      <c r="K248" s="1"/>
      <c r="L248" s="1"/>
      <c r="M248" s="1"/>
      <c r="N248" s="1"/>
      <c r="O248" s="1"/>
    </row>
    <row r="249" spans="1:15" x14ac:dyDescent="0.35">
      <c r="A249" s="15"/>
      <c r="B249" s="1"/>
      <c r="C249" s="1"/>
      <c r="D249" s="1"/>
      <c r="F249" s="1"/>
      <c r="H249" s="1"/>
      <c r="I249" s="1"/>
      <c r="J249" s="1"/>
      <c r="K249" s="1"/>
      <c r="L249" s="1"/>
      <c r="M249" s="1"/>
      <c r="N249" s="1"/>
      <c r="O249" s="1"/>
    </row>
    <row r="250" spans="1:15" x14ac:dyDescent="0.35">
      <c r="A250" s="15"/>
      <c r="B250" s="1"/>
      <c r="C250" s="1"/>
      <c r="D250" s="1"/>
      <c r="F250" s="1"/>
      <c r="H250" s="1"/>
      <c r="I250" s="1"/>
      <c r="J250" s="1"/>
      <c r="K250" s="1"/>
      <c r="L250" s="1"/>
      <c r="M250" s="1"/>
      <c r="N250" s="1"/>
      <c r="O250" s="1"/>
    </row>
    <row r="251" spans="1:15" x14ac:dyDescent="0.35">
      <c r="A251" s="15"/>
      <c r="B251" s="1"/>
      <c r="C251" s="1"/>
      <c r="D251" s="1"/>
      <c r="F251" s="1"/>
      <c r="H251" s="1"/>
      <c r="I251" s="1"/>
      <c r="J251" s="1"/>
      <c r="K251" s="1"/>
      <c r="L251" s="1"/>
      <c r="M251" s="1"/>
      <c r="N251" s="1"/>
      <c r="O251" s="1"/>
    </row>
    <row r="252" spans="1:15" x14ac:dyDescent="0.35">
      <c r="A252" s="15"/>
      <c r="B252" s="1"/>
      <c r="C252" s="1"/>
      <c r="D252" s="1"/>
      <c r="F252" s="1"/>
      <c r="H252" s="1"/>
      <c r="I252" s="1"/>
      <c r="J252" s="1"/>
      <c r="K252" s="1"/>
      <c r="L252" s="1"/>
      <c r="M252" s="1"/>
      <c r="N252" s="1"/>
      <c r="O252" s="1"/>
    </row>
    <row r="253" spans="1:15" x14ac:dyDescent="0.35">
      <c r="A253" s="15"/>
      <c r="B253" s="1"/>
      <c r="C253" s="1"/>
      <c r="D253" s="1"/>
      <c r="F253" s="1"/>
      <c r="H253" s="1"/>
      <c r="I253" s="1"/>
      <c r="J253" s="1"/>
      <c r="K253" s="1"/>
      <c r="L253" s="1"/>
      <c r="M253" s="1"/>
      <c r="N253" s="1"/>
      <c r="O253" s="1"/>
    </row>
    <row r="254" spans="1:15" x14ac:dyDescent="0.35">
      <c r="A254" s="1"/>
      <c r="B254" s="1"/>
      <c r="C254" s="1"/>
      <c r="D254" s="1"/>
      <c r="F254" s="1"/>
      <c r="H254" s="1"/>
      <c r="I254" s="1"/>
      <c r="J254" s="1"/>
      <c r="K254" s="1"/>
      <c r="L254" s="1"/>
      <c r="M254" s="1"/>
      <c r="N254" s="1"/>
      <c r="O254" s="1"/>
    </row>
    <row r="255" spans="1:15" x14ac:dyDescent="0.35">
      <c r="A255" s="15"/>
      <c r="B255" s="1"/>
      <c r="C255" s="1"/>
      <c r="D255" s="1"/>
      <c r="F255" s="1"/>
      <c r="H255" s="1"/>
      <c r="I255" s="1"/>
      <c r="J255" s="1"/>
      <c r="K255" s="1"/>
      <c r="L255" s="1"/>
      <c r="M255" s="1"/>
      <c r="N255" s="1"/>
      <c r="O255" s="1"/>
    </row>
    <row r="256" spans="1:15" x14ac:dyDescent="0.35">
      <c r="A256" s="15"/>
      <c r="B256" s="1"/>
      <c r="C256" s="1"/>
      <c r="D256" s="1"/>
      <c r="F256" s="1"/>
      <c r="H256" s="1"/>
      <c r="I256" s="1"/>
      <c r="J256" s="1"/>
      <c r="K256" s="1"/>
      <c r="L256" s="1"/>
      <c r="M256" s="1"/>
      <c r="N256" s="1"/>
      <c r="O256" s="1"/>
    </row>
    <row r="257" spans="1:15" x14ac:dyDescent="0.35">
      <c r="A257" s="15"/>
      <c r="B257" s="1"/>
      <c r="C257" s="1"/>
      <c r="D257" s="1"/>
      <c r="F257" s="1"/>
      <c r="H257" s="1"/>
      <c r="I257" s="1"/>
      <c r="J257" s="1"/>
      <c r="K257" s="1"/>
      <c r="L257" s="1"/>
      <c r="M257" s="1"/>
      <c r="N257" s="1"/>
      <c r="O257" s="1"/>
    </row>
    <row r="258" spans="1:15" x14ac:dyDescent="0.35">
      <c r="A258" s="15"/>
      <c r="B258" s="1"/>
      <c r="C258" s="1"/>
      <c r="D258" s="1"/>
      <c r="E258" s="1"/>
      <c r="F258" s="1"/>
      <c r="H258" s="1"/>
      <c r="I258" s="1"/>
      <c r="J258" s="1"/>
      <c r="K258" s="1"/>
      <c r="L258" s="1"/>
      <c r="M258" s="1"/>
      <c r="N258" s="1"/>
      <c r="O258" s="1"/>
    </row>
    <row r="259" spans="1:15" x14ac:dyDescent="0.35">
      <c r="B259" s="1"/>
      <c r="C259" s="1"/>
      <c r="F259" s="1"/>
      <c r="H259" s="1"/>
      <c r="I259" s="1"/>
      <c r="J259" s="1"/>
      <c r="K259" s="1"/>
      <c r="L259" s="1"/>
      <c r="M259" s="1"/>
      <c r="N259" s="1"/>
      <c r="O259" s="1"/>
    </row>
    <row r="260" spans="1:15" x14ac:dyDescent="0.35">
      <c r="A260" s="15"/>
      <c r="B260" s="1"/>
      <c r="C260" s="1"/>
      <c r="F260" s="1"/>
      <c r="H260" s="1"/>
      <c r="I260" s="1"/>
      <c r="J260" s="1"/>
      <c r="K260" s="1"/>
      <c r="L260" s="1"/>
      <c r="M260" s="1"/>
      <c r="N260" s="1"/>
      <c r="O260" s="1"/>
    </row>
    <row r="261" spans="1:15" x14ac:dyDescent="0.35">
      <c r="A261" s="15"/>
      <c r="B261" s="1"/>
      <c r="C261" s="1"/>
      <c r="F261" s="1"/>
      <c r="H261" s="1"/>
      <c r="I261" s="1"/>
      <c r="J261" s="1"/>
      <c r="K261" s="1"/>
      <c r="L261" s="1"/>
      <c r="M261" s="1"/>
      <c r="N261" s="1"/>
      <c r="O261" s="1"/>
    </row>
    <row r="262" spans="1:15" x14ac:dyDescent="0.35">
      <c r="A262" s="15"/>
      <c r="B262" s="1"/>
      <c r="C262" s="1"/>
      <c r="F262" s="1"/>
      <c r="H262" s="1"/>
      <c r="I262" s="1"/>
      <c r="J262" s="1"/>
      <c r="K262" s="1"/>
      <c r="L262" s="1"/>
      <c r="M262" s="1"/>
      <c r="N262" s="1"/>
      <c r="O262" s="1"/>
    </row>
    <row r="263" spans="1:15" x14ac:dyDescent="0.35">
      <c r="A263" s="15"/>
      <c r="B263" s="1"/>
      <c r="C263" s="1"/>
      <c r="F263" s="1"/>
      <c r="H263" s="1"/>
      <c r="I263" s="1"/>
      <c r="J263" s="1"/>
      <c r="K263" s="1"/>
      <c r="L263" s="1"/>
      <c r="M263" s="1"/>
      <c r="N263" s="1"/>
      <c r="O263" s="1"/>
    </row>
    <row r="264" spans="1:15" x14ac:dyDescent="0.35">
      <c r="A264" s="15"/>
      <c r="B264" s="1"/>
      <c r="C264" s="1"/>
      <c r="F264" s="1"/>
      <c r="H264" s="1"/>
      <c r="I264" s="1"/>
      <c r="J264" s="1"/>
      <c r="K264" s="1"/>
      <c r="L264" s="1"/>
      <c r="M264" s="1"/>
      <c r="N264" s="1"/>
      <c r="O264" s="1"/>
    </row>
    <row r="265" spans="1:15" x14ac:dyDescent="0.35">
      <c r="A265" s="15"/>
      <c r="B265" s="1"/>
      <c r="C265" s="1"/>
      <c r="F265" s="1"/>
      <c r="H265" s="1"/>
      <c r="I265" s="1"/>
      <c r="J265" s="1"/>
      <c r="K265" s="1"/>
      <c r="L265" s="1"/>
      <c r="M265" s="1"/>
      <c r="N265" s="1"/>
      <c r="O265" s="1"/>
    </row>
    <row r="266" spans="1:15" x14ac:dyDescent="0.35">
      <c r="A266" s="15"/>
      <c r="B266" s="1"/>
      <c r="C266" s="1"/>
      <c r="F266" s="1"/>
      <c r="H266" s="1"/>
      <c r="I266" s="1"/>
      <c r="J266" s="1"/>
      <c r="K266" s="1"/>
      <c r="L266" s="1"/>
      <c r="M266" s="1"/>
      <c r="N266" s="1"/>
      <c r="O266" s="1"/>
    </row>
    <row r="267" spans="1:15" x14ac:dyDescent="0.35">
      <c r="A267" s="15"/>
      <c r="B267" s="1"/>
      <c r="C267" s="1"/>
      <c r="F267" s="1"/>
      <c r="H267" s="1"/>
      <c r="I267" s="1"/>
      <c r="J267" s="1"/>
      <c r="K267" s="1"/>
      <c r="L267" s="1"/>
      <c r="M267" s="1"/>
      <c r="N267" s="1"/>
      <c r="O267" s="1"/>
    </row>
    <row r="268" spans="1:15" x14ac:dyDescent="0.35">
      <c r="A268" s="15"/>
      <c r="B268" s="1"/>
      <c r="F268" s="1"/>
      <c r="H268" s="1"/>
      <c r="I268" s="1"/>
      <c r="J268" s="1"/>
      <c r="K268" s="1"/>
      <c r="L268" s="1"/>
      <c r="M268" s="1"/>
      <c r="N268" s="1"/>
      <c r="O268" s="1"/>
    </row>
    <row r="269" spans="1:15" x14ac:dyDescent="0.35">
      <c r="A269" s="15"/>
      <c r="B269" s="1"/>
      <c r="C269" s="1"/>
      <c r="F269" s="1"/>
      <c r="H269" s="1"/>
      <c r="I269" s="1"/>
      <c r="J269" s="1"/>
      <c r="K269" s="1"/>
      <c r="L269" s="1"/>
      <c r="M269" s="1"/>
      <c r="N269" s="1"/>
      <c r="O269" s="1"/>
    </row>
    <row r="270" spans="1:15" x14ac:dyDescent="0.35">
      <c r="A270" s="15"/>
      <c r="B270" s="1"/>
      <c r="C270" s="1"/>
      <c r="F270" s="1"/>
      <c r="H270" s="1"/>
      <c r="I270" s="1"/>
      <c r="J270" s="1"/>
      <c r="K270" s="1"/>
      <c r="L270" s="1"/>
      <c r="M270" s="1"/>
      <c r="N270" s="1"/>
      <c r="O270" s="1"/>
    </row>
    <row r="271" spans="1:15" x14ac:dyDescent="0.35">
      <c r="A271" s="15"/>
      <c r="B271" s="1"/>
      <c r="C271" s="1"/>
      <c r="F271" s="1"/>
      <c r="H271" s="1"/>
      <c r="I271" s="1"/>
      <c r="J271" s="1"/>
      <c r="K271" s="1"/>
      <c r="L271" s="1"/>
      <c r="M271" s="1"/>
      <c r="N271" s="1"/>
      <c r="O271" s="1"/>
    </row>
    <row r="272" spans="1:15" x14ac:dyDescent="0.35">
      <c r="A272" s="15"/>
      <c r="B272" s="1"/>
      <c r="F272" s="1"/>
      <c r="H272" s="1"/>
      <c r="I272" s="1"/>
      <c r="J272" s="1"/>
      <c r="K272" s="1"/>
      <c r="L272" s="1"/>
      <c r="M272" s="1"/>
      <c r="N272" s="1"/>
      <c r="O272" s="1"/>
    </row>
    <row r="273" spans="1:15" x14ac:dyDescent="0.35">
      <c r="A273" s="15"/>
      <c r="B273" s="1"/>
      <c r="F273" s="1"/>
      <c r="H273" s="1"/>
      <c r="I273" s="1"/>
      <c r="J273" s="1"/>
      <c r="K273" s="1"/>
      <c r="L273" s="1"/>
      <c r="M273" s="1"/>
      <c r="N273" s="1"/>
      <c r="O273" s="1"/>
    </row>
    <row r="274" spans="1:15" x14ac:dyDescent="0.35">
      <c r="A274" s="15"/>
      <c r="B274" s="1"/>
      <c r="F274" s="1"/>
    </row>
    <row r="275" spans="1:15" x14ac:dyDescent="0.35">
      <c r="A275" s="15"/>
      <c r="B275" s="1"/>
      <c r="F275" s="1"/>
    </row>
    <row r="276" spans="1:15" x14ac:dyDescent="0.35">
      <c r="A276" s="15"/>
    </row>
  </sheetData>
  <sheetProtection algorithmName="SHA-512" hashValue="WSxdautVi+JI7ynBT7HIIs32Tspq0uPJOdqqoYYJ1H+icranJiRx3VpCnok4GvXOwaIhbk74WzGdfPfRjHGkOQ==" saltValue="80EoexZHyGzetmDhWXbeZg==" spinCount="100000" sheet="1" objects="1" scenarios="1" selectLockedCells="1"/>
  <pageMargins left="0.7" right="0.7" top="0.75" bottom="0.75" header="0.3" footer="0.3"/>
  <pageSetup paperSize="9" scale="41" orientation="portrait" r:id="rId1"/>
  <rowBreaks count="2" manualBreakCount="2">
    <brk id="120" max="7" man="1"/>
    <brk id="204" max="7" man="1"/>
  </rowBreaks>
  <colBreaks count="1" manualBreakCount="1">
    <brk id="8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CCF76-5258-4464-82C7-5C350EE30702}">
  <sheetPr>
    <tabColor theme="1"/>
  </sheetPr>
  <dimension ref="A1:G24"/>
  <sheetViews>
    <sheetView showGridLines="0" zoomScaleNormal="100" workbookViewId="0">
      <selection activeCell="D5" sqref="D5"/>
    </sheetView>
  </sheetViews>
  <sheetFormatPr defaultRowHeight="14.5" x14ac:dyDescent="0.35"/>
  <cols>
    <col min="1" max="1" width="2.81640625" customWidth="1"/>
    <col min="2" max="2" width="1.453125" customWidth="1"/>
    <col min="3" max="3" width="36.81640625" customWidth="1"/>
    <col min="4" max="4" width="78.7265625" customWidth="1"/>
    <col min="5" max="5" width="1.54296875" customWidth="1"/>
  </cols>
  <sheetData>
    <row r="1" spans="1:6" x14ac:dyDescent="0.35">
      <c r="A1" s="1"/>
    </row>
    <row r="2" spans="1:6" ht="18.5" x14ac:dyDescent="0.35">
      <c r="A2" s="1"/>
      <c r="C2" s="39" t="s">
        <v>262</v>
      </c>
      <c r="D2" s="40"/>
    </row>
    <row r="4" spans="1:6" x14ac:dyDescent="0.35">
      <c r="A4" s="1"/>
      <c r="C4" s="41" t="s">
        <v>148</v>
      </c>
      <c r="D4" s="11"/>
    </row>
    <row r="5" spans="1:6" x14ac:dyDescent="0.35">
      <c r="A5" s="1"/>
      <c r="C5" s="227" t="s">
        <v>149</v>
      </c>
      <c r="D5" s="228"/>
    </row>
    <row r="6" spans="1:6" x14ac:dyDescent="0.35">
      <c r="A6" s="1"/>
      <c r="C6" s="229" t="s">
        <v>150</v>
      </c>
      <c r="D6" s="230"/>
    </row>
    <row r="7" spans="1:6" x14ac:dyDescent="0.35">
      <c r="A7" s="1"/>
      <c r="C7" s="229" t="s">
        <v>151</v>
      </c>
      <c r="D7" s="230"/>
    </row>
    <row r="8" spans="1:6" x14ac:dyDescent="0.35">
      <c r="A8" s="1"/>
      <c r="C8" s="229" t="s">
        <v>152</v>
      </c>
      <c r="D8" s="230"/>
    </row>
    <row r="9" spans="1:6" x14ac:dyDescent="0.35">
      <c r="A9" s="1"/>
      <c r="C9" s="229" t="s">
        <v>153</v>
      </c>
      <c r="D9" s="230"/>
    </row>
    <row r="10" spans="1:6" x14ac:dyDescent="0.35">
      <c r="A10" s="1"/>
      <c r="C10" s="231" t="s">
        <v>154</v>
      </c>
      <c r="D10" s="232"/>
    </row>
    <row r="11" spans="1:6" x14ac:dyDescent="0.35">
      <c r="A11" s="1"/>
      <c r="B11" s="1"/>
      <c r="C11" s="1"/>
      <c r="D11" s="1"/>
      <c r="E11" s="1"/>
      <c r="F11" s="1"/>
    </row>
    <row r="12" spans="1:6" x14ac:dyDescent="0.35">
      <c r="A12" s="1"/>
      <c r="C12" s="43" t="s">
        <v>155</v>
      </c>
      <c r="D12" s="42"/>
    </row>
    <row r="13" spans="1:6" x14ac:dyDescent="0.35">
      <c r="A13" s="1"/>
      <c r="C13" s="227" t="s">
        <v>156</v>
      </c>
      <c r="D13" s="228"/>
    </row>
    <row r="14" spans="1:6" x14ac:dyDescent="0.35">
      <c r="A14" s="1"/>
      <c r="C14" s="229" t="s">
        <v>157</v>
      </c>
      <c r="D14" s="230"/>
    </row>
    <row r="15" spans="1:6" x14ac:dyDescent="0.35">
      <c r="A15" s="1"/>
      <c r="C15" s="229" t="s">
        <v>158</v>
      </c>
      <c r="D15" s="230"/>
    </row>
    <row r="16" spans="1:6" x14ac:dyDescent="0.35">
      <c r="A16" s="1"/>
      <c r="C16" s="231" t="s">
        <v>159</v>
      </c>
      <c r="D16" s="233"/>
    </row>
    <row r="18" spans="1:7" x14ac:dyDescent="0.35">
      <c r="A18" s="1"/>
      <c r="C18" s="43" t="s">
        <v>160</v>
      </c>
      <c r="D18" s="42"/>
    </row>
    <row r="19" spans="1:7" x14ac:dyDescent="0.35">
      <c r="A19" s="1"/>
      <c r="C19" s="227" t="s">
        <v>115</v>
      </c>
      <c r="D19" s="228"/>
    </row>
    <row r="20" spans="1:7" x14ac:dyDescent="0.35">
      <c r="A20" s="1"/>
      <c r="C20" s="229" t="s">
        <v>161</v>
      </c>
      <c r="D20" s="230"/>
    </row>
    <row r="21" spans="1:7" x14ac:dyDescent="0.35">
      <c r="A21" s="1"/>
      <c r="C21" s="229" t="s">
        <v>116</v>
      </c>
      <c r="D21" s="230"/>
    </row>
    <row r="22" spans="1:7" x14ac:dyDescent="0.35">
      <c r="A22" s="1"/>
      <c r="C22" s="231" t="s">
        <v>117</v>
      </c>
      <c r="D22" s="233"/>
    </row>
    <row r="23" spans="1:7" x14ac:dyDescent="0.35">
      <c r="A23" s="1"/>
      <c r="B23" s="1"/>
      <c r="C23" s="1"/>
      <c r="D23" s="1"/>
      <c r="E23" s="1"/>
      <c r="F23" s="1"/>
      <c r="G23" s="1"/>
    </row>
    <row r="24" spans="1:7" x14ac:dyDescent="0.35">
      <c r="A24" s="1"/>
    </row>
  </sheetData>
  <sheetProtection algorithmName="SHA-512" hashValue="6uQBiLgn9FpUxdgBCHJ26p9F5aeKGaSeRJbi8yImYJRmNm8f6AZ3eUYfapGpH1ZginZhnWu0FHSERbDqf6RO9w==" saltValue="ja0kJ/XbNmJUOnaPZfUiXQ==" spinCount="100000" sheet="1" objects="1" scenarios="1" selectLockedCells="1"/>
  <pageMargins left="0.7" right="0.7" top="0.75" bottom="0.75" header="0.3" footer="0.3"/>
  <pageSetup paperSize="9" scale="72" orientation="portrait" horizontalDpi="0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1A316F-FAA9-4390-B88B-D988BB5B605E}">
  <sheetPr codeName="Taul2">
    <tabColor theme="9" tint="0.39997558519241921"/>
    <outlinePr summaryBelow="0" summaryRight="0"/>
  </sheetPr>
  <dimension ref="A1:Y231"/>
  <sheetViews>
    <sheetView showGridLines="0" zoomScale="90" zoomScaleNormal="90" zoomScaleSheetLayoutView="39" workbookViewId="0">
      <pane xSplit="3" ySplit="6" topLeftCell="D88" activePane="bottomRight" state="frozen"/>
      <selection pane="topRight" activeCell="D1" sqref="D1"/>
      <selection pane="bottomLeft" activeCell="A7" sqref="A7"/>
      <selection pane="bottomRight" activeCell="N179" sqref="N179"/>
    </sheetView>
  </sheetViews>
  <sheetFormatPr defaultRowHeight="14.5" x14ac:dyDescent="0.35"/>
  <cols>
    <col min="1" max="1" width="1.1796875" customWidth="1"/>
    <col min="2" max="2" width="22.81640625" customWidth="1"/>
    <col min="3" max="3" width="26.54296875" customWidth="1"/>
    <col min="4" max="4" width="27" customWidth="1"/>
    <col min="5" max="5" width="9.81640625" customWidth="1"/>
    <col min="6" max="6" width="10.453125" customWidth="1"/>
    <col min="7" max="7" width="9.81640625" customWidth="1"/>
    <col min="8" max="8" width="11.54296875" customWidth="1"/>
    <col min="9" max="11" width="10.1796875" customWidth="1"/>
    <col min="12" max="12" width="13.54296875" customWidth="1"/>
    <col min="13" max="13" width="1.1796875" style="1" customWidth="1"/>
    <col min="14" max="15" width="9.1796875" customWidth="1"/>
    <col min="16" max="16" width="11.81640625" customWidth="1"/>
    <col min="17" max="17" width="5.54296875" customWidth="1"/>
    <col min="18" max="18" width="33.54296875" customWidth="1"/>
    <col min="19" max="19" width="1.453125" customWidth="1"/>
    <col min="20" max="20" width="119.26953125" customWidth="1"/>
    <col min="21" max="21" width="1.54296875" customWidth="1"/>
  </cols>
  <sheetData>
    <row r="1" spans="1:25" ht="6.65" customHeight="1" x14ac:dyDescent="0.3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92"/>
      <c r="S1" s="92"/>
      <c r="T1" s="92"/>
      <c r="U1" s="11"/>
      <c r="V1" s="1"/>
      <c r="W1" s="1"/>
      <c r="X1" s="1"/>
    </row>
    <row r="2" spans="1:25" s="24" customFormat="1" ht="8.5" customHeight="1" thickBot="1" x14ac:dyDescent="0.35">
      <c r="A2" s="22"/>
      <c r="B2" s="93"/>
      <c r="C2" s="93"/>
      <c r="D2" s="94"/>
      <c r="E2" s="95"/>
      <c r="F2" s="95"/>
      <c r="G2" s="95"/>
      <c r="H2" s="53"/>
      <c r="I2" s="95"/>
      <c r="J2" s="95"/>
      <c r="K2" s="95"/>
      <c r="L2" s="95"/>
      <c r="M2" s="95"/>
      <c r="N2" s="95"/>
      <c r="R2" s="96"/>
      <c r="U2" s="22"/>
    </row>
    <row r="3" spans="1:25" s="24" customFormat="1" ht="23.15" customHeight="1" thickBot="1" x14ac:dyDescent="0.35">
      <c r="A3" s="22"/>
      <c r="C3" s="309" t="str">
        <f>IF(OR(COUNTIF(B1:B179,"*" &amp; "puuttuu" &amp; "*")&gt;0,COUNTIF(N3:N4,"*" &amp; "Valitse" &amp; "*")&gt;0),"*Tietoja puuttuu","")</f>
        <v>*Tietoja puuttuu</v>
      </c>
      <c r="D3" s="97" t="s">
        <v>4</v>
      </c>
      <c r="E3" s="95"/>
      <c r="F3" s="95"/>
      <c r="G3" s="95"/>
      <c r="H3" s="53"/>
      <c r="I3" s="54"/>
      <c r="J3" s="129" t="s">
        <v>6</v>
      </c>
      <c r="K3" s="98"/>
      <c r="L3" s="141"/>
      <c r="M3" s="99"/>
      <c r="N3" s="287" t="str">
        <f>IF(AND(L3="",L4=""),"* Valitse","")</f>
        <v>* Valitse</v>
      </c>
      <c r="R3" s="96"/>
      <c r="U3" s="22"/>
    </row>
    <row r="4" spans="1:25" s="24" customFormat="1" ht="23.15" customHeight="1" thickBot="1" x14ac:dyDescent="0.35">
      <c r="A4" s="22"/>
      <c r="B4" s="93"/>
      <c r="C4" s="93"/>
      <c r="D4" s="100" t="s">
        <v>199</v>
      </c>
      <c r="E4" s="95"/>
      <c r="F4" s="95"/>
      <c r="G4" s="95"/>
      <c r="H4" s="53"/>
      <c r="I4" s="95"/>
      <c r="J4" s="101" t="s">
        <v>7</v>
      </c>
      <c r="K4" s="102"/>
      <c r="L4" s="132"/>
      <c r="M4" s="17"/>
      <c r="N4" s="287" t="str">
        <f>IF(AND(L3="",L4=""),"* Valitse","")</f>
        <v>* Valitse</v>
      </c>
      <c r="R4" s="96"/>
      <c r="U4" s="22"/>
    </row>
    <row r="5" spans="1:25" ht="30" customHeight="1" x14ac:dyDescent="0.35">
      <c r="A5" s="11"/>
      <c r="B5" s="103"/>
      <c r="C5" s="1"/>
      <c r="D5" s="316" t="s">
        <v>5</v>
      </c>
      <c r="E5" s="317"/>
      <c r="F5" s="317"/>
      <c r="G5" s="56"/>
      <c r="H5" s="57"/>
      <c r="I5" s="57"/>
      <c r="J5" s="56"/>
      <c r="K5" s="57"/>
      <c r="L5" s="58"/>
      <c r="N5" s="313" t="s">
        <v>129</v>
      </c>
      <c r="O5" s="314"/>
      <c r="P5" s="314"/>
      <c r="Q5" s="314"/>
      <c r="R5" s="315"/>
      <c r="T5" s="104" t="s">
        <v>160</v>
      </c>
      <c r="U5" s="11"/>
      <c r="V5" s="1"/>
      <c r="W5" s="1"/>
      <c r="X5" s="1"/>
      <c r="Y5" s="1"/>
    </row>
    <row r="6" spans="1:25" s="110" customFormat="1" ht="51.65" customHeight="1" x14ac:dyDescent="0.35">
      <c r="A6" s="12"/>
      <c r="B6" s="323" t="s">
        <v>146</v>
      </c>
      <c r="C6" s="324"/>
      <c r="D6" s="31" t="s">
        <v>131</v>
      </c>
      <c r="E6" s="31" t="s">
        <v>8</v>
      </c>
      <c r="F6" s="31" t="s">
        <v>9</v>
      </c>
      <c r="G6" s="32" t="s">
        <v>10</v>
      </c>
      <c r="H6" s="26" t="s">
        <v>237</v>
      </c>
      <c r="I6" s="32" t="s">
        <v>12</v>
      </c>
      <c r="J6" s="32" t="s">
        <v>13</v>
      </c>
      <c r="K6" s="32" t="s">
        <v>232</v>
      </c>
      <c r="L6" s="26" t="s">
        <v>238</v>
      </c>
      <c r="M6" s="21"/>
      <c r="N6" s="105" t="s">
        <v>248</v>
      </c>
      <c r="O6" s="32" t="s">
        <v>15</v>
      </c>
      <c r="P6" s="106" t="s">
        <v>16</v>
      </c>
      <c r="Q6" s="32" t="s">
        <v>244</v>
      </c>
      <c r="R6" s="107" t="s">
        <v>132</v>
      </c>
      <c r="S6"/>
      <c r="T6" s="108" t="s">
        <v>162</v>
      </c>
      <c r="U6" s="11"/>
      <c r="V6" s="109"/>
      <c r="W6" s="109"/>
      <c r="X6" s="109"/>
      <c r="Y6" s="109"/>
    </row>
    <row r="7" spans="1:25" s="114" customFormat="1" ht="16" customHeight="1" x14ac:dyDescent="0.35">
      <c r="A7" s="44" t="s">
        <v>163</v>
      </c>
      <c r="B7" s="51"/>
      <c r="C7" s="51"/>
      <c r="D7" s="46"/>
      <c r="E7" s="46"/>
      <c r="F7" s="46"/>
      <c r="G7" s="46"/>
      <c r="H7" s="46"/>
      <c r="I7" s="46"/>
      <c r="J7" s="46"/>
      <c r="K7" s="46"/>
      <c r="L7" s="47"/>
      <c r="M7" s="21"/>
      <c r="N7" s="111"/>
      <c r="O7" s="46"/>
      <c r="P7" s="46"/>
      <c r="Q7" s="46"/>
      <c r="R7" s="112"/>
      <c r="S7" s="113"/>
      <c r="T7" s="48"/>
      <c r="U7" s="11"/>
      <c r="V7" s="113"/>
      <c r="W7" s="113"/>
    </row>
    <row r="8" spans="1:25" s="110" customFormat="1" x14ac:dyDescent="0.35">
      <c r="A8" s="12"/>
      <c r="B8" s="318" t="str">
        <f>IF(T8="Kirjoita tähän mitä tehdään","Arkkitehtisuunnittelu *Rakennusselostus puuttuu","Arkkitehtisuunnittelu")</f>
        <v>Arkkitehtisuunnittelu</v>
      </c>
      <c r="C8" s="319"/>
      <c r="D8" s="171"/>
      <c r="E8" s="172"/>
      <c r="F8" s="172"/>
      <c r="G8" s="172"/>
      <c r="H8" s="270">
        <f t="shared" ref="H8:H19" si="0">E8*G8</f>
        <v>0</v>
      </c>
      <c r="I8" s="172"/>
      <c r="J8" s="172"/>
      <c r="K8" s="172"/>
      <c r="L8" s="270">
        <f t="shared" ref="L8:L19" si="1">H8+I8+(J8*K8)</f>
        <v>0</v>
      </c>
      <c r="M8" s="147"/>
      <c r="N8" s="182"/>
      <c r="O8" s="172"/>
      <c r="P8" s="173">
        <f t="shared" ref="P8:P19" si="2">N8*20+O8*60</f>
        <v>0</v>
      </c>
      <c r="Q8" s="279"/>
      <c r="R8" s="183"/>
      <c r="S8" s="115">
        <f>L8+P8</f>
        <v>0</v>
      </c>
      <c r="T8" s="146" t="str" cm="1">
        <f t="array" ref="T8">IF(S8:S8=0,"Ei toimenpiteitä","Kirjoita tähän mitä tehdään")</f>
        <v>Ei toimenpiteitä</v>
      </c>
      <c r="U8" s="11"/>
      <c r="V8" s="109"/>
      <c r="W8" s="109"/>
      <c r="X8" s="109"/>
      <c r="Y8" s="109"/>
    </row>
    <row r="9" spans="1:25" s="110" customFormat="1" x14ac:dyDescent="0.35">
      <c r="A9" s="12"/>
      <c r="B9" s="320" t="str">
        <f>IF(T9="Kirjoita tähän mitä tehdään","Rakennesuunnittelu *Rakennusselostus puuttuu","Rakennesuunnittelu")</f>
        <v>Rakennesuunnittelu</v>
      </c>
      <c r="C9" s="321"/>
      <c r="D9" s="175"/>
      <c r="E9" s="176"/>
      <c r="F9" s="176"/>
      <c r="G9" s="176"/>
      <c r="H9" s="271">
        <f t="shared" si="0"/>
        <v>0</v>
      </c>
      <c r="I9" s="176"/>
      <c r="J9" s="176"/>
      <c r="K9" s="176"/>
      <c r="L9" s="271">
        <f t="shared" si="1"/>
        <v>0</v>
      </c>
      <c r="M9" s="147"/>
      <c r="N9" s="184"/>
      <c r="O9" s="176"/>
      <c r="P9" s="177">
        <f t="shared" si="2"/>
        <v>0</v>
      </c>
      <c r="Q9" s="280"/>
      <c r="R9" s="185"/>
      <c r="S9" s="115">
        <f t="shared" ref="S9:S75" si="3">L9+P9</f>
        <v>0</v>
      </c>
      <c r="T9" s="146" t="str" cm="1">
        <f t="array" ref="T9">IF(S9:S9=0,"Ei toimenpiteitä","Kirjoita tähän mitä tehdään")</f>
        <v>Ei toimenpiteitä</v>
      </c>
      <c r="U9" s="11"/>
      <c r="V9" s="109"/>
      <c r="W9" s="109"/>
      <c r="X9" s="109"/>
      <c r="Y9" s="109"/>
    </row>
    <row r="10" spans="1:25" s="110" customFormat="1" x14ac:dyDescent="0.35">
      <c r="A10" s="12"/>
      <c r="B10" s="320" t="str">
        <f>IF(T10="Kirjoita tähän mitä tehdään","LVI-suunnittelu *Rakennusselostus puuttuu","LVI-suunnittelu")</f>
        <v>LVI-suunnittelu</v>
      </c>
      <c r="C10" s="321"/>
      <c r="D10" s="175"/>
      <c r="E10" s="176"/>
      <c r="F10" s="176"/>
      <c r="G10" s="176"/>
      <c r="H10" s="271">
        <f t="shared" si="0"/>
        <v>0</v>
      </c>
      <c r="I10" s="176"/>
      <c r="J10" s="176"/>
      <c r="K10" s="176"/>
      <c r="L10" s="271">
        <f t="shared" si="1"/>
        <v>0</v>
      </c>
      <c r="M10" s="147"/>
      <c r="N10" s="184"/>
      <c r="O10" s="176"/>
      <c r="P10" s="177">
        <f t="shared" si="2"/>
        <v>0</v>
      </c>
      <c r="Q10" s="280"/>
      <c r="R10" s="185"/>
      <c r="S10" s="115">
        <f t="shared" si="3"/>
        <v>0</v>
      </c>
      <c r="T10" s="146" t="str" cm="1">
        <f t="array" ref="T10">IF(S10:S10=0,"Ei toimenpiteitä","Kirjoita tähän mitä tehdään")</f>
        <v>Ei toimenpiteitä</v>
      </c>
      <c r="U10" s="11"/>
      <c r="V10" s="109"/>
      <c r="W10" s="109"/>
      <c r="X10" s="109"/>
      <c r="Y10" s="109"/>
    </row>
    <row r="11" spans="1:25" s="110" customFormat="1" x14ac:dyDescent="0.35">
      <c r="A11" s="12"/>
      <c r="B11" s="320" t="str">
        <f>IF(T11="Kirjoita tähän mitä tehdään","Sähkö- ja automaatiosuunnittelu *Rakennusselostus puuttuu","Sähkö- ja automaatiosuunnittelu")</f>
        <v>Sähkö- ja automaatiosuunnittelu</v>
      </c>
      <c r="C11" s="321"/>
      <c r="D11" s="175"/>
      <c r="E11" s="176"/>
      <c r="F11" s="176"/>
      <c r="G11" s="176"/>
      <c r="H11" s="271">
        <f t="shared" si="0"/>
        <v>0</v>
      </c>
      <c r="I11" s="176"/>
      <c r="J11" s="176"/>
      <c r="K11" s="176"/>
      <c r="L11" s="271">
        <f t="shared" si="1"/>
        <v>0</v>
      </c>
      <c r="M11" s="147"/>
      <c r="N11" s="184"/>
      <c r="O11" s="176"/>
      <c r="P11" s="177">
        <f t="shared" si="2"/>
        <v>0</v>
      </c>
      <c r="Q11" s="280"/>
      <c r="R11" s="185"/>
      <c r="S11" s="115">
        <f t="shared" si="3"/>
        <v>0</v>
      </c>
      <c r="T11" s="146" t="str" cm="1">
        <f t="array" ref="T11">IF(S11:S11=0,"Ei toimenpiteitä","Kirjoita tähän mitä tehdään")</f>
        <v>Ei toimenpiteitä</v>
      </c>
      <c r="U11" s="11"/>
      <c r="V11" s="109"/>
      <c r="W11" s="109"/>
      <c r="X11" s="109"/>
      <c r="Y11" s="109"/>
    </row>
    <row r="12" spans="1:25" s="110" customFormat="1" x14ac:dyDescent="0.35">
      <c r="A12" s="12"/>
      <c r="B12" s="320" t="str">
        <f>IF(T12="Kirjoita tähän mitä tehdään","Valvontaviranomaisten maksut (esim. rakennuslupa) *Rakennusselostus puuttuu","Valvontaviranomaisten maksut (esim. rakennuslupa)")</f>
        <v>Valvontaviranomaisten maksut (esim. rakennuslupa)</v>
      </c>
      <c r="C12" s="321"/>
      <c r="D12" s="175"/>
      <c r="E12" s="176"/>
      <c r="F12" s="176"/>
      <c r="G12" s="176"/>
      <c r="H12" s="271">
        <f t="shared" si="0"/>
        <v>0</v>
      </c>
      <c r="I12" s="176"/>
      <c r="J12" s="176"/>
      <c r="K12" s="176"/>
      <c r="L12" s="271">
        <f t="shared" si="1"/>
        <v>0</v>
      </c>
      <c r="M12" s="147"/>
      <c r="N12" s="184"/>
      <c r="O12" s="176"/>
      <c r="P12" s="177">
        <f t="shared" si="2"/>
        <v>0</v>
      </c>
      <c r="Q12" s="280"/>
      <c r="R12" s="185"/>
      <c r="S12" s="115">
        <f t="shared" si="3"/>
        <v>0</v>
      </c>
      <c r="T12" s="146" t="str" cm="1">
        <f t="array" ref="T12">IF(S12:S12=0,"Ei toimenpiteitä","Kirjoita tähän mitä tehdään")</f>
        <v>Ei toimenpiteitä</v>
      </c>
      <c r="U12" s="11"/>
      <c r="V12" s="109"/>
      <c r="W12" s="109"/>
      <c r="X12" s="109"/>
      <c r="Y12" s="109"/>
    </row>
    <row r="13" spans="1:25" s="110" customFormat="1" x14ac:dyDescent="0.35">
      <c r="A13" s="12"/>
      <c r="B13" s="320" t="str">
        <f>IF(T13="Kirjoita tähän mitä tehdään","Vakuutukset *Rakennusselostus puuttuu","Vakuutukset")</f>
        <v>Vakuutukset</v>
      </c>
      <c r="C13" s="321"/>
      <c r="D13" s="175"/>
      <c r="E13" s="176"/>
      <c r="F13" s="176"/>
      <c r="G13" s="176"/>
      <c r="H13" s="271">
        <f t="shared" si="0"/>
        <v>0</v>
      </c>
      <c r="I13" s="176"/>
      <c r="J13" s="176"/>
      <c r="K13" s="176"/>
      <c r="L13" s="271">
        <f t="shared" si="1"/>
        <v>0</v>
      </c>
      <c r="M13" s="147"/>
      <c r="N13" s="184"/>
      <c r="O13" s="176"/>
      <c r="P13" s="177">
        <f t="shared" si="2"/>
        <v>0</v>
      </c>
      <c r="Q13" s="280"/>
      <c r="R13" s="185"/>
      <c r="S13" s="115">
        <f t="shared" si="3"/>
        <v>0</v>
      </c>
      <c r="T13" s="146" t="str" cm="1">
        <f t="array" ref="T13">IF(S13:S13=0,"Ei toimenpiteitä","Kirjoita tähän mitä tehdään")</f>
        <v>Ei toimenpiteitä</v>
      </c>
      <c r="U13" s="11"/>
      <c r="V13" s="109"/>
      <c r="W13" s="109"/>
      <c r="X13" s="109"/>
      <c r="Y13" s="109"/>
    </row>
    <row r="14" spans="1:25" s="110" customFormat="1" x14ac:dyDescent="0.35">
      <c r="A14" s="12"/>
      <c r="B14" s="320" t="str">
        <f>IF(T14="Kirjoita tähän mitä tehdään","Katselmukset *Rakennusselostus puuttuu","Katselmukset")</f>
        <v>Katselmukset</v>
      </c>
      <c r="C14" s="321"/>
      <c r="D14" s="175"/>
      <c r="E14" s="176"/>
      <c r="F14" s="176"/>
      <c r="G14" s="176"/>
      <c r="H14" s="271">
        <f t="shared" si="0"/>
        <v>0</v>
      </c>
      <c r="I14" s="176"/>
      <c r="J14" s="176"/>
      <c r="K14" s="176"/>
      <c r="L14" s="271">
        <f t="shared" si="1"/>
        <v>0</v>
      </c>
      <c r="M14" s="147"/>
      <c r="N14" s="184"/>
      <c r="O14" s="176"/>
      <c r="P14" s="177">
        <f t="shared" si="2"/>
        <v>0</v>
      </c>
      <c r="Q14" s="280"/>
      <c r="R14" s="185"/>
      <c r="S14" s="115">
        <f t="shared" si="3"/>
        <v>0</v>
      </c>
      <c r="T14" s="146" t="str" cm="1">
        <f t="array" ref="T14">IF(S14:S14=0,"Ei toimenpiteitä","Kirjoita tähän mitä tehdään")</f>
        <v>Ei toimenpiteitä</v>
      </c>
      <c r="U14" s="11"/>
      <c r="V14" s="109"/>
      <c r="W14" s="109"/>
      <c r="X14" s="109"/>
      <c r="Y14" s="109"/>
    </row>
    <row r="15" spans="1:25" s="110" customFormat="1" x14ac:dyDescent="0.35">
      <c r="A15" s="12"/>
      <c r="B15" s="320" t="str">
        <f>IF(T15="Kirjoita tähän mitä tehdään","LVIS liittymismaksut *Rakennusselostus puuttuu","LVIS liittymismaksut")</f>
        <v>LVIS liittymismaksut</v>
      </c>
      <c r="C15" s="321"/>
      <c r="D15" s="175"/>
      <c r="E15" s="176"/>
      <c r="F15" s="176"/>
      <c r="G15" s="176"/>
      <c r="H15" s="271">
        <f t="shared" si="0"/>
        <v>0</v>
      </c>
      <c r="I15" s="176"/>
      <c r="J15" s="176"/>
      <c r="K15" s="176"/>
      <c r="L15" s="271">
        <f t="shared" si="1"/>
        <v>0</v>
      </c>
      <c r="M15" s="147"/>
      <c r="N15" s="184"/>
      <c r="O15" s="176"/>
      <c r="P15" s="177">
        <f t="shared" si="2"/>
        <v>0</v>
      </c>
      <c r="Q15" s="280"/>
      <c r="R15" s="185"/>
      <c r="S15" s="115">
        <f t="shared" si="3"/>
        <v>0</v>
      </c>
      <c r="T15" s="146" t="str" cm="1">
        <f t="array" ref="T15">IF(S15:S15=0,"Ei toimenpiteitä","Kirjoita tähän mitä tehdään")</f>
        <v>Ei toimenpiteitä</v>
      </c>
      <c r="U15" s="11"/>
      <c r="V15" s="109"/>
      <c r="W15" s="109"/>
      <c r="X15" s="109"/>
      <c r="Y15" s="109"/>
    </row>
    <row r="16" spans="1:25" s="110" customFormat="1" x14ac:dyDescent="0.35">
      <c r="A16" s="12"/>
      <c r="B16" s="320" t="str">
        <f>IF(T16="Kirjoita tähän mitä tehdään","Vuokraoikeuden kirjaus *Rakennusselostus puuttuu","Vuokraoikeuden kirjaus")</f>
        <v>Vuokraoikeuden kirjaus</v>
      </c>
      <c r="C16" s="321"/>
      <c r="D16" s="175"/>
      <c r="E16" s="176"/>
      <c r="F16" s="176"/>
      <c r="G16" s="176"/>
      <c r="H16" s="271">
        <f t="shared" si="0"/>
        <v>0</v>
      </c>
      <c r="I16" s="176"/>
      <c r="J16" s="176"/>
      <c r="K16" s="176"/>
      <c r="L16" s="271">
        <f t="shared" si="1"/>
        <v>0</v>
      </c>
      <c r="M16" s="147"/>
      <c r="N16" s="184"/>
      <c r="O16" s="176"/>
      <c r="P16" s="177">
        <f t="shared" si="2"/>
        <v>0</v>
      </c>
      <c r="Q16" s="280"/>
      <c r="R16" s="185"/>
      <c r="S16" s="115">
        <f t="shared" si="3"/>
        <v>0</v>
      </c>
      <c r="T16" s="146" t="str" cm="1">
        <f t="array" ref="T16">IF(S16:S16=0,"Ei toimenpiteitä","Kirjoita tähän mitä tehdään")</f>
        <v>Ei toimenpiteitä</v>
      </c>
      <c r="U16" s="11"/>
      <c r="V16" s="109"/>
      <c r="W16" s="109"/>
      <c r="X16" s="109"/>
      <c r="Y16" s="109"/>
    </row>
    <row r="17" spans="1:25" s="110" customFormat="1" x14ac:dyDescent="0.35">
      <c r="A17" s="12"/>
      <c r="B17" s="320" t="str">
        <f>IF(T17="Kirjoita tähän mitä tehdään","Asbestikartoitus *Rakennusselostus puuttuu","Asbestikartoitus")</f>
        <v>Asbestikartoitus</v>
      </c>
      <c r="C17" s="321"/>
      <c r="D17" s="175"/>
      <c r="E17" s="176"/>
      <c r="F17" s="176"/>
      <c r="G17" s="176"/>
      <c r="H17" s="271">
        <f t="shared" si="0"/>
        <v>0</v>
      </c>
      <c r="I17" s="176"/>
      <c r="J17" s="176"/>
      <c r="K17" s="176"/>
      <c r="L17" s="271">
        <f t="shared" si="1"/>
        <v>0</v>
      </c>
      <c r="M17" s="147"/>
      <c r="N17" s="184"/>
      <c r="O17" s="176"/>
      <c r="P17" s="177">
        <f t="shared" si="2"/>
        <v>0</v>
      </c>
      <c r="Q17" s="280"/>
      <c r="R17" s="185"/>
      <c r="S17" s="115">
        <f t="shared" si="3"/>
        <v>0</v>
      </c>
      <c r="T17" s="146" t="str" cm="1">
        <f t="array" ref="T17">IF(S17:S17=0,"Ei toimenpiteitä","Kirjoita tähän mitä tehdään")</f>
        <v>Ei toimenpiteitä</v>
      </c>
      <c r="U17" s="11"/>
      <c r="V17" s="109"/>
      <c r="W17" s="109"/>
      <c r="X17" s="109"/>
      <c r="Y17" s="109"/>
    </row>
    <row r="18" spans="1:25" s="110" customFormat="1" x14ac:dyDescent="0.35">
      <c r="A18" s="12"/>
      <c r="B18" s="188" t="str">
        <f>IF(T18="Kirjoita tähän mitä tehdään","Muu maksu: *Rakennusselostus puuttuu","Muu maksu:")</f>
        <v>Muu maksu:</v>
      </c>
      <c r="C18" s="299"/>
      <c r="D18" s="175"/>
      <c r="E18" s="176"/>
      <c r="F18" s="176"/>
      <c r="G18" s="176"/>
      <c r="H18" s="271">
        <f t="shared" si="0"/>
        <v>0</v>
      </c>
      <c r="I18" s="176"/>
      <c r="J18" s="176"/>
      <c r="K18" s="176"/>
      <c r="L18" s="271">
        <f t="shared" si="1"/>
        <v>0</v>
      </c>
      <c r="M18" s="147"/>
      <c r="N18" s="184"/>
      <c r="O18" s="176"/>
      <c r="P18" s="177">
        <f t="shared" si="2"/>
        <v>0</v>
      </c>
      <c r="Q18" s="280"/>
      <c r="R18" s="185"/>
      <c r="S18" s="115">
        <f t="shared" si="3"/>
        <v>0</v>
      </c>
      <c r="T18" s="146" t="str" cm="1">
        <f t="array" ref="T18">IF(S18:S18=0,"Ei toimenpiteitä","Kirjoita tähän mitä tehdään")</f>
        <v>Ei toimenpiteitä</v>
      </c>
      <c r="U18" s="11"/>
      <c r="V18" s="109"/>
      <c r="W18" s="109"/>
      <c r="X18" s="109"/>
      <c r="Y18" s="109"/>
    </row>
    <row r="19" spans="1:25" s="110" customFormat="1" x14ac:dyDescent="0.35">
      <c r="A19" s="12"/>
      <c r="B19" s="188" t="str">
        <f>IF(T19="Kirjoita tähän mitä tehdään","Muu maksu: *Rakennusselostus puuttuu","Muu maksu:")</f>
        <v>Muu maksu:</v>
      </c>
      <c r="C19" s="299"/>
      <c r="D19" s="179"/>
      <c r="E19" s="180"/>
      <c r="F19" s="180"/>
      <c r="G19" s="180"/>
      <c r="H19" s="272">
        <f t="shared" si="0"/>
        <v>0</v>
      </c>
      <c r="I19" s="180"/>
      <c r="J19" s="180"/>
      <c r="K19" s="180"/>
      <c r="L19" s="272">
        <f t="shared" si="1"/>
        <v>0</v>
      </c>
      <c r="M19" s="147"/>
      <c r="N19" s="186"/>
      <c r="O19" s="180"/>
      <c r="P19" s="181">
        <f t="shared" si="2"/>
        <v>0</v>
      </c>
      <c r="Q19" s="281"/>
      <c r="R19" s="187"/>
      <c r="S19" s="115">
        <f t="shared" si="3"/>
        <v>0</v>
      </c>
      <c r="T19" s="146" t="str" cm="1">
        <f t="array" ref="T19">IF(S19:S19=0,"Ei toimenpiteitä","Kirjoita tähän mitä tehdään")</f>
        <v>Ei toimenpiteitä</v>
      </c>
      <c r="U19" s="11"/>
      <c r="V19" s="109"/>
      <c r="W19" s="109"/>
      <c r="X19" s="109"/>
      <c r="Y19" s="109"/>
    </row>
    <row r="20" spans="1:25" s="114" customFormat="1" x14ac:dyDescent="0.35">
      <c r="A20" s="44" t="s">
        <v>168</v>
      </c>
      <c r="B20" s="51"/>
      <c r="C20" s="286"/>
      <c r="D20" s="144"/>
      <c r="E20" s="148"/>
      <c r="F20" s="148"/>
      <c r="G20" s="148"/>
      <c r="H20" s="148"/>
      <c r="I20" s="152"/>
      <c r="J20" s="148"/>
      <c r="K20" s="148"/>
      <c r="L20" s="149"/>
      <c r="M20" s="147"/>
      <c r="N20" s="253"/>
      <c r="O20" s="254"/>
      <c r="P20" s="148"/>
      <c r="Q20" s="288"/>
      <c r="R20" s="153"/>
      <c r="S20" s="115">
        <f t="shared" si="3"/>
        <v>0</v>
      </c>
      <c r="T20" s="159"/>
      <c r="U20" s="11"/>
      <c r="V20" s="113"/>
      <c r="W20" s="113"/>
    </row>
    <row r="21" spans="1:25" x14ac:dyDescent="0.35">
      <c r="A21" s="10" t="s">
        <v>200</v>
      </c>
      <c r="B21" s="27"/>
      <c r="C21" s="27"/>
      <c r="D21" s="145"/>
      <c r="E21" s="154"/>
      <c r="F21" s="154"/>
      <c r="G21" s="154"/>
      <c r="H21" s="156"/>
      <c r="I21" s="156"/>
      <c r="J21" s="156"/>
      <c r="K21" s="156"/>
      <c r="L21" s="155"/>
      <c r="M21" s="157"/>
      <c r="N21" s="158"/>
      <c r="O21" s="156"/>
      <c r="P21" s="156"/>
      <c r="Q21" s="289"/>
      <c r="R21" s="252"/>
      <c r="S21" s="115">
        <f t="shared" si="3"/>
        <v>0</v>
      </c>
      <c r="T21" s="160"/>
      <c r="U21" s="11"/>
      <c r="V21" s="1"/>
      <c r="W21" s="1"/>
      <c r="X21" s="1"/>
      <c r="Y21" s="1"/>
    </row>
    <row r="22" spans="1:25" s="110" customFormat="1" x14ac:dyDescent="0.35">
      <c r="A22" s="12"/>
      <c r="B22" s="318" t="str">
        <f>IF(T22="Kirjoita tähän mitä tehdään","Tontin raivaus *Rakennusselostus puuttuu","Tontin raivaus")</f>
        <v>Tontin raivaus</v>
      </c>
      <c r="C22" s="319"/>
      <c r="D22" s="175"/>
      <c r="E22" s="176"/>
      <c r="F22" s="176"/>
      <c r="G22" s="176"/>
      <c r="H22" s="271">
        <f t="shared" ref="H22:H169" si="4">E22*G22</f>
        <v>0</v>
      </c>
      <c r="I22" s="176"/>
      <c r="J22" s="176"/>
      <c r="K22" s="176"/>
      <c r="L22" s="271">
        <f t="shared" ref="L22:L169" si="5">H22+I22+(J22*K22)</f>
        <v>0</v>
      </c>
      <c r="M22" s="147"/>
      <c r="N22" s="255"/>
      <c r="O22" s="256"/>
      <c r="P22" s="257">
        <f>N22*20+O22*60</f>
        <v>0</v>
      </c>
      <c r="Q22" s="282"/>
      <c r="R22" s="185"/>
      <c r="S22" s="115">
        <f t="shared" si="3"/>
        <v>0</v>
      </c>
      <c r="T22" s="146" t="str" cm="1">
        <f t="array" ref="T22">IF(S22:S22=0,"Ei toimenpiteitä","Kirjoita tähän mitä tehdään")</f>
        <v>Ei toimenpiteitä</v>
      </c>
      <c r="U22" s="11"/>
      <c r="V22" s="109"/>
      <c r="W22" s="109"/>
      <c r="X22" s="109"/>
      <c r="Y22" s="109"/>
    </row>
    <row r="23" spans="1:25" s="110" customFormat="1" x14ac:dyDescent="0.35">
      <c r="A23" s="12"/>
      <c r="B23" s="320" t="str">
        <f>IF(T23="Kirjoita tähän mitä tehdään","Tontin maankaivutyöt *Rakennusselostus puuttuu","Tontin maankaivutyöt")</f>
        <v>Tontin maankaivutyöt</v>
      </c>
      <c r="C23" s="321"/>
      <c r="D23" s="175"/>
      <c r="E23" s="176"/>
      <c r="F23" s="176"/>
      <c r="G23" s="176"/>
      <c r="H23" s="271">
        <f t="shared" si="4"/>
        <v>0</v>
      </c>
      <c r="I23" s="176"/>
      <c r="J23" s="176"/>
      <c r="K23" s="176"/>
      <c r="L23" s="271">
        <f t="shared" si="5"/>
        <v>0</v>
      </c>
      <c r="M23" s="147"/>
      <c r="N23" s="184"/>
      <c r="O23" s="176"/>
      <c r="P23" s="177">
        <f t="shared" ref="P23:P101" si="6">N23*20+O23*60</f>
        <v>0</v>
      </c>
      <c r="Q23" s="280"/>
      <c r="R23" s="185"/>
      <c r="S23" s="115">
        <f t="shared" si="3"/>
        <v>0</v>
      </c>
      <c r="T23" s="146" t="str" cm="1">
        <f t="array" ref="T23">IF(S23:S23=0,"Ei toimenpiteitä","Kirjoita tähän mitä tehdään")</f>
        <v>Ei toimenpiteitä</v>
      </c>
      <c r="U23" s="11"/>
      <c r="V23" s="109"/>
      <c r="W23" s="109"/>
      <c r="X23" s="109"/>
      <c r="Y23" s="109"/>
    </row>
    <row r="24" spans="1:25" s="110" customFormat="1" x14ac:dyDescent="0.35">
      <c r="A24" s="12"/>
      <c r="B24" s="320" t="str">
        <f>IF(T24="Kirjoita tähän mitä tehdään","Maa-aineksen kuljetus *Rakennusselostus puuttuu","Maa-aineksen kuljetus")</f>
        <v>Maa-aineksen kuljetus</v>
      </c>
      <c r="C24" s="321"/>
      <c r="D24" s="175"/>
      <c r="E24" s="176"/>
      <c r="F24" s="176"/>
      <c r="G24" s="176"/>
      <c r="H24" s="271">
        <f t="shared" si="4"/>
        <v>0</v>
      </c>
      <c r="I24" s="176"/>
      <c r="J24" s="176"/>
      <c r="K24" s="176"/>
      <c r="L24" s="271">
        <f t="shared" si="5"/>
        <v>0</v>
      </c>
      <c r="M24" s="147"/>
      <c r="N24" s="184"/>
      <c r="O24" s="176"/>
      <c r="P24" s="177">
        <f t="shared" si="6"/>
        <v>0</v>
      </c>
      <c r="Q24" s="280"/>
      <c r="R24" s="185"/>
      <c r="S24" s="115">
        <f t="shared" si="3"/>
        <v>0</v>
      </c>
      <c r="T24" s="146" t="str" cm="1">
        <f t="array" ref="T24">IF(S24:S24=0,"Ei toimenpiteitä","Kirjoita tähän mitä tehdään")</f>
        <v>Ei toimenpiteitä</v>
      </c>
      <c r="U24" s="11"/>
      <c r="V24" s="109"/>
      <c r="W24" s="109"/>
      <c r="X24" s="109"/>
      <c r="Y24" s="109"/>
    </row>
    <row r="25" spans="1:25" s="110" customFormat="1" x14ac:dyDescent="0.35">
      <c r="A25" s="12"/>
      <c r="B25" s="320" t="str">
        <f>IF(T25="Kirjoita tähän mitä tehdään","Täyttömateriaalin kuljetus *Rakennusselostus puuttuu","Täyttömateriaalin kuljetus")</f>
        <v>Täyttömateriaalin kuljetus</v>
      </c>
      <c r="C25" s="321"/>
      <c r="D25" s="175"/>
      <c r="E25" s="176"/>
      <c r="F25" s="176"/>
      <c r="G25" s="176"/>
      <c r="H25" s="271">
        <f t="shared" ref="H25:H33" si="7">E25*G25</f>
        <v>0</v>
      </c>
      <c r="I25" s="176"/>
      <c r="J25" s="176"/>
      <c r="K25" s="176"/>
      <c r="L25" s="271">
        <f t="shared" si="5"/>
        <v>0</v>
      </c>
      <c r="M25" s="147"/>
      <c r="N25" s="184"/>
      <c r="O25" s="176"/>
      <c r="P25" s="177">
        <f t="shared" si="6"/>
        <v>0</v>
      </c>
      <c r="Q25" s="280"/>
      <c r="R25" s="185"/>
      <c r="S25" s="115">
        <f t="shared" si="3"/>
        <v>0</v>
      </c>
      <c r="T25" s="146" t="str" cm="1">
        <f t="array" ref="T25">IF(S25:S25=0,"Ei toimenpiteitä","Kirjoita tähän mitä tehdään")</f>
        <v>Ei toimenpiteitä</v>
      </c>
      <c r="U25" s="11"/>
      <c r="V25" s="109"/>
      <c r="W25" s="109"/>
      <c r="X25" s="109"/>
      <c r="Y25" s="109"/>
    </row>
    <row r="26" spans="1:25" s="110" customFormat="1" x14ac:dyDescent="0.35">
      <c r="A26" s="12"/>
      <c r="B26" s="320" t="str">
        <f>IF(T26="Kirjoita tähän mitä tehdään","Viheralueiden rakentaminen *Rakennusselostus puuttuu","Viheralueiden rakentaminen")</f>
        <v>Viheralueiden rakentaminen</v>
      </c>
      <c r="C26" s="321"/>
      <c r="D26" s="175"/>
      <c r="E26" s="176"/>
      <c r="F26" s="176"/>
      <c r="G26" s="176"/>
      <c r="H26" s="271">
        <f t="shared" si="7"/>
        <v>0</v>
      </c>
      <c r="I26" s="176"/>
      <c r="J26" s="176"/>
      <c r="K26" s="176"/>
      <c r="L26" s="271">
        <f t="shared" si="5"/>
        <v>0</v>
      </c>
      <c r="M26" s="147"/>
      <c r="N26" s="184"/>
      <c r="O26" s="176"/>
      <c r="P26" s="177">
        <f t="shared" si="6"/>
        <v>0</v>
      </c>
      <c r="Q26" s="280"/>
      <c r="R26" s="185"/>
      <c r="S26" s="115">
        <f t="shared" si="3"/>
        <v>0</v>
      </c>
      <c r="T26" s="146" t="str" cm="1">
        <f t="array" ref="T26">IF(S26:S26=0,"Ei toimenpiteitä","Kirjoita tähän mitä tehdään")</f>
        <v>Ei toimenpiteitä</v>
      </c>
      <c r="U26" s="11"/>
      <c r="V26" s="109"/>
      <c r="W26" s="109"/>
      <c r="X26" s="109"/>
      <c r="Y26" s="109"/>
    </row>
    <row r="27" spans="1:25" s="110" customFormat="1" x14ac:dyDescent="0.35">
      <c r="A27" s="12"/>
      <c r="B27" s="320" t="str">
        <f>IF(T27="Kirjoita tähän mitä tehdään","Pihateiden pohjarakenteet *Rakennusselostus puuttuu","Pihateiden pohjarakenteet")</f>
        <v>Pihateiden pohjarakenteet</v>
      </c>
      <c r="C27" s="321"/>
      <c r="D27" s="175"/>
      <c r="E27" s="176"/>
      <c r="F27" s="176"/>
      <c r="G27" s="176"/>
      <c r="H27" s="271">
        <f t="shared" si="7"/>
        <v>0</v>
      </c>
      <c r="I27" s="176"/>
      <c r="J27" s="176"/>
      <c r="K27" s="176"/>
      <c r="L27" s="271">
        <f t="shared" si="5"/>
        <v>0</v>
      </c>
      <c r="M27" s="147"/>
      <c r="N27" s="184"/>
      <c r="O27" s="176"/>
      <c r="P27" s="177">
        <f t="shared" si="6"/>
        <v>0</v>
      </c>
      <c r="Q27" s="280"/>
      <c r="R27" s="185"/>
      <c r="S27" s="115">
        <f t="shared" si="3"/>
        <v>0</v>
      </c>
      <c r="T27" s="146" t="str" cm="1">
        <f t="array" ref="T27">IF(S27:S27=0,"Ei toimenpiteitä","Kirjoita tähän mitä tehdään")</f>
        <v>Ei toimenpiteitä</v>
      </c>
      <c r="U27" s="11"/>
      <c r="V27" s="109"/>
      <c r="W27" s="109"/>
      <c r="X27" s="109"/>
      <c r="Y27" s="109"/>
    </row>
    <row r="28" spans="1:25" s="110" customFormat="1" x14ac:dyDescent="0.35">
      <c r="A28" s="12"/>
      <c r="B28" s="320" t="str">
        <f>IF(T28="Kirjoita tähän mitä tehdään","Pihateiden pintarakenteet *Rakennusselostus puuttuu","Pihateiden pintarakenteet")</f>
        <v>Pihateiden pintarakenteet</v>
      </c>
      <c r="C28" s="321"/>
      <c r="D28" s="175"/>
      <c r="E28" s="176"/>
      <c r="F28" s="176"/>
      <c r="G28" s="176"/>
      <c r="H28" s="271">
        <f t="shared" si="7"/>
        <v>0</v>
      </c>
      <c r="I28" s="176"/>
      <c r="J28" s="176"/>
      <c r="K28" s="176"/>
      <c r="L28" s="271">
        <f t="shared" si="5"/>
        <v>0</v>
      </c>
      <c r="M28" s="147"/>
      <c r="N28" s="184"/>
      <c r="O28" s="176"/>
      <c r="P28" s="177">
        <f t="shared" si="6"/>
        <v>0</v>
      </c>
      <c r="Q28" s="280"/>
      <c r="R28" s="185"/>
      <c r="S28" s="115">
        <f t="shared" si="3"/>
        <v>0</v>
      </c>
      <c r="T28" s="146" t="str" cm="1">
        <f t="array" ref="T28">IF(S28:S28=0,"Ei toimenpiteitä","Kirjoita tähän mitä tehdään")</f>
        <v>Ei toimenpiteitä</v>
      </c>
      <c r="U28" s="11"/>
      <c r="V28" s="109"/>
      <c r="W28" s="109"/>
      <c r="X28" s="109"/>
      <c r="Y28" s="109"/>
    </row>
    <row r="29" spans="1:25" s="110" customFormat="1" x14ac:dyDescent="0.35">
      <c r="A29" s="12"/>
      <c r="B29" s="320" t="str">
        <f>IF(T29="Kirjoita tähän mitä tehdään","Paikoitusalueen rakentaminen *Rakennusselostus puuttuu","Paikoitusalueen rakentaminen")</f>
        <v>Paikoitusalueen rakentaminen</v>
      </c>
      <c r="C29" s="321"/>
      <c r="D29" s="175"/>
      <c r="E29" s="176"/>
      <c r="F29" s="176"/>
      <c r="G29" s="176"/>
      <c r="H29" s="271">
        <f t="shared" si="7"/>
        <v>0</v>
      </c>
      <c r="I29" s="176"/>
      <c r="J29" s="176"/>
      <c r="K29" s="176"/>
      <c r="L29" s="271">
        <f t="shared" si="5"/>
        <v>0</v>
      </c>
      <c r="M29" s="147"/>
      <c r="N29" s="184"/>
      <c r="O29" s="176"/>
      <c r="P29" s="177">
        <f t="shared" si="6"/>
        <v>0</v>
      </c>
      <c r="Q29" s="280"/>
      <c r="R29" s="185"/>
      <c r="S29" s="115">
        <f t="shared" si="3"/>
        <v>0</v>
      </c>
      <c r="T29" s="146" t="str" cm="1">
        <f t="array" ref="T29">IF(S29:S29=0,"Ei toimenpiteitä","Kirjoita tähän mitä tehdään")</f>
        <v>Ei toimenpiteitä</v>
      </c>
      <c r="U29" s="11"/>
      <c r="V29" s="109"/>
      <c r="W29" s="109"/>
      <c r="X29" s="109"/>
      <c r="Y29" s="109"/>
    </row>
    <row r="30" spans="1:25" s="110" customFormat="1" x14ac:dyDescent="0.35">
      <c r="A30" s="12"/>
      <c r="B30" s="320" t="str">
        <f>IF(T30="Kirjoita tähän mitä tehdään","Aidat *Rakennusselostus puuttuu","Aidat")</f>
        <v>Aidat</v>
      </c>
      <c r="C30" s="321"/>
      <c r="D30" s="175"/>
      <c r="E30" s="176"/>
      <c r="F30" s="176"/>
      <c r="G30" s="176"/>
      <c r="H30" s="271">
        <f t="shared" si="7"/>
        <v>0</v>
      </c>
      <c r="I30" s="176"/>
      <c r="J30" s="176"/>
      <c r="K30" s="176"/>
      <c r="L30" s="271">
        <f t="shared" si="5"/>
        <v>0</v>
      </c>
      <c r="M30" s="147"/>
      <c r="N30" s="184"/>
      <c r="O30" s="176"/>
      <c r="P30" s="177">
        <f t="shared" si="6"/>
        <v>0</v>
      </c>
      <c r="Q30" s="280"/>
      <c r="R30" s="185"/>
      <c r="S30" s="115">
        <f t="shared" si="3"/>
        <v>0</v>
      </c>
      <c r="T30" s="146" t="str" cm="1">
        <f t="array" ref="T30">IF(S30:S30=0,"Ei toimenpiteitä","Kirjoita tähän mitä tehdään")</f>
        <v>Ei toimenpiteitä</v>
      </c>
      <c r="U30" s="11"/>
      <c r="V30" s="109"/>
      <c r="W30" s="109"/>
      <c r="X30" s="109"/>
      <c r="Y30" s="109"/>
    </row>
    <row r="31" spans="1:25" s="110" customFormat="1" x14ac:dyDescent="0.35">
      <c r="A31" s="12"/>
      <c r="B31" s="320" t="str">
        <f>IF(T31="Kirjoita tähän mitä tehdään","Piha-alueen valaisimet *Rakennusselostus puuttuu","Piha-alueen valaisimet")</f>
        <v>Piha-alueen valaisimet</v>
      </c>
      <c r="C31" s="321"/>
      <c r="D31" s="175"/>
      <c r="E31" s="176"/>
      <c r="F31" s="176"/>
      <c r="G31" s="176"/>
      <c r="H31" s="271">
        <f t="shared" si="7"/>
        <v>0</v>
      </c>
      <c r="I31" s="176"/>
      <c r="J31" s="176"/>
      <c r="K31" s="176"/>
      <c r="L31" s="271">
        <f t="shared" si="5"/>
        <v>0</v>
      </c>
      <c r="M31" s="147"/>
      <c r="N31" s="184"/>
      <c r="O31" s="176"/>
      <c r="P31" s="177">
        <f t="shared" si="6"/>
        <v>0</v>
      </c>
      <c r="Q31" s="280"/>
      <c r="R31" s="185"/>
      <c r="S31" s="115">
        <f t="shared" si="3"/>
        <v>0</v>
      </c>
      <c r="T31" s="146" t="str" cm="1">
        <f t="array" ref="T31">IF(S31:S31=0,"Ei toimenpiteitä","Kirjoita tähän mitä tehdään")</f>
        <v>Ei toimenpiteitä</v>
      </c>
      <c r="U31" s="11"/>
      <c r="V31" s="109"/>
      <c r="W31" s="109"/>
      <c r="X31" s="109"/>
      <c r="Y31" s="109"/>
    </row>
    <row r="32" spans="1:25" s="110" customFormat="1" x14ac:dyDescent="0.35">
      <c r="A32" s="12"/>
      <c r="B32" s="320" t="str">
        <f>IF(T32="Kirjoita tähän mitä tehdään","Postilaatikot *Rakennusselostus puuttuu","Postilaatikot")</f>
        <v>Postilaatikot</v>
      </c>
      <c r="C32" s="321"/>
      <c r="D32" s="175"/>
      <c r="E32" s="176"/>
      <c r="F32" s="176"/>
      <c r="G32" s="176"/>
      <c r="H32" s="271">
        <f t="shared" si="7"/>
        <v>0</v>
      </c>
      <c r="I32" s="176"/>
      <c r="J32" s="176"/>
      <c r="K32" s="176"/>
      <c r="L32" s="271">
        <f t="shared" si="5"/>
        <v>0</v>
      </c>
      <c r="M32" s="147"/>
      <c r="N32" s="184"/>
      <c r="O32" s="176"/>
      <c r="P32" s="177">
        <f t="shared" si="6"/>
        <v>0</v>
      </c>
      <c r="Q32" s="280"/>
      <c r="R32" s="185"/>
      <c r="S32" s="115">
        <f t="shared" si="3"/>
        <v>0</v>
      </c>
      <c r="T32" s="146" t="str" cm="1">
        <f t="array" ref="T32">IF(S32:S32=0,"Ei toimenpiteitä","Kirjoita tähän mitä tehdään")</f>
        <v>Ei toimenpiteitä</v>
      </c>
      <c r="U32" s="11"/>
      <c r="V32" s="109"/>
      <c r="W32" s="109"/>
      <c r="X32" s="109"/>
      <c r="Y32" s="109"/>
    </row>
    <row r="33" spans="1:25" s="110" customFormat="1" x14ac:dyDescent="0.35">
      <c r="A33" s="12"/>
      <c r="B33" s="320" t="str">
        <f>IF(T33="Kirjoita tähän mitä tehdään","Pihavarastot *Rakennusselostus puuttuu","Pihavarastot")</f>
        <v>Pihavarastot</v>
      </c>
      <c r="C33" s="321"/>
      <c r="D33" s="175"/>
      <c r="E33" s="176"/>
      <c r="F33" s="176"/>
      <c r="G33" s="176"/>
      <c r="H33" s="271">
        <f t="shared" si="7"/>
        <v>0</v>
      </c>
      <c r="I33" s="176"/>
      <c r="J33" s="176"/>
      <c r="K33" s="176"/>
      <c r="L33" s="271">
        <f t="shared" si="5"/>
        <v>0</v>
      </c>
      <c r="M33" s="147"/>
      <c r="N33" s="184"/>
      <c r="O33" s="176"/>
      <c r="P33" s="177">
        <f t="shared" si="6"/>
        <v>0</v>
      </c>
      <c r="Q33" s="280"/>
      <c r="R33" s="185"/>
      <c r="S33" s="115">
        <f t="shared" si="3"/>
        <v>0</v>
      </c>
      <c r="T33" s="146" t="str" cm="1">
        <f t="array" ref="T33">IF(S33:S33=0,"Ei toimenpiteitä","Kirjoita tähän mitä tehdään")</f>
        <v>Ei toimenpiteitä</v>
      </c>
      <c r="U33" s="11"/>
      <c r="V33" s="109"/>
      <c r="W33" s="109"/>
      <c r="X33" s="109"/>
      <c r="Y33" s="109"/>
    </row>
    <row r="34" spans="1:25" s="110" customFormat="1" x14ac:dyDescent="0.35">
      <c r="A34" s="12"/>
      <c r="B34" s="320" t="str">
        <f>IF(T34="Kirjoita tähän mitä tehdään","Terassit *Rakennusselostus puuttuu","Terassit")</f>
        <v>Terassit</v>
      </c>
      <c r="C34" s="321"/>
      <c r="D34" s="175"/>
      <c r="E34" s="176"/>
      <c r="F34" s="176"/>
      <c r="G34" s="176"/>
      <c r="H34" s="271">
        <f t="shared" si="4"/>
        <v>0</v>
      </c>
      <c r="I34" s="176"/>
      <c r="J34" s="176"/>
      <c r="K34" s="176"/>
      <c r="L34" s="271">
        <f t="shared" si="5"/>
        <v>0</v>
      </c>
      <c r="M34" s="147"/>
      <c r="N34" s="184"/>
      <c r="O34" s="176"/>
      <c r="P34" s="177">
        <f t="shared" si="6"/>
        <v>0</v>
      </c>
      <c r="Q34" s="280"/>
      <c r="R34" s="185"/>
      <c r="S34" s="115">
        <f t="shared" si="3"/>
        <v>0</v>
      </c>
      <c r="T34" s="146" t="str" cm="1">
        <f t="array" ref="T34">IF(S34:S34=0,"Ei toimenpiteitä","Kirjoita tähän mitä tehdään")</f>
        <v>Ei toimenpiteitä</v>
      </c>
      <c r="U34" s="11"/>
      <c r="V34" s="109"/>
      <c r="W34" s="109"/>
      <c r="X34" s="109"/>
      <c r="Y34" s="109"/>
    </row>
    <row r="35" spans="1:25" s="110" customFormat="1" x14ac:dyDescent="0.35">
      <c r="A35" s="12"/>
      <c r="B35" s="320" t="str">
        <f>IF(T35="Kirjoita tähän mitä tehdään","Muurit *Rakennusselostus puuttuu","Muurit")</f>
        <v>Muurit</v>
      </c>
      <c r="C35" s="321"/>
      <c r="D35" s="175"/>
      <c r="E35" s="176"/>
      <c r="F35" s="176"/>
      <c r="G35" s="176"/>
      <c r="H35" s="271">
        <f t="shared" si="4"/>
        <v>0</v>
      </c>
      <c r="I35" s="176"/>
      <c r="J35" s="176"/>
      <c r="K35" s="176"/>
      <c r="L35" s="271">
        <f t="shared" si="5"/>
        <v>0</v>
      </c>
      <c r="M35" s="147"/>
      <c r="N35" s="184"/>
      <c r="O35" s="176"/>
      <c r="P35" s="177">
        <f t="shared" si="6"/>
        <v>0</v>
      </c>
      <c r="Q35" s="280"/>
      <c r="R35" s="185"/>
      <c r="S35" s="115">
        <f t="shared" si="3"/>
        <v>0</v>
      </c>
      <c r="T35" s="146" t="str" cm="1">
        <f t="array" ref="T35">IF(S35:S35=0,"Ei toimenpiteitä","Kirjoita tähän mitä tehdään")</f>
        <v>Ei toimenpiteitä</v>
      </c>
      <c r="U35" s="11"/>
      <c r="V35" s="109"/>
      <c r="W35" s="109"/>
      <c r="X35" s="109"/>
      <c r="Y35" s="109"/>
    </row>
    <row r="36" spans="1:25" s="110" customFormat="1" x14ac:dyDescent="0.35">
      <c r="A36" s="12"/>
      <c r="B36" s="320" t="str">
        <f>IF(T36="Kirjoita tähän mitä tehdään","Portaat ja kaiteet *Rakennusselostus puuttuu","Portaat ja kaiteet")</f>
        <v>Portaat ja kaiteet</v>
      </c>
      <c r="C36" s="321"/>
      <c r="D36" s="175"/>
      <c r="E36" s="176"/>
      <c r="F36" s="176"/>
      <c r="G36" s="176"/>
      <c r="H36" s="271">
        <f t="shared" si="4"/>
        <v>0</v>
      </c>
      <c r="I36" s="176"/>
      <c r="J36" s="176"/>
      <c r="K36" s="176"/>
      <c r="L36" s="271">
        <f t="shared" si="5"/>
        <v>0</v>
      </c>
      <c r="M36" s="147"/>
      <c r="N36" s="184"/>
      <c r="O36" s="176"/>
      <c r="P36" s="177">
        <f t="shared" si="6"/>
        <v>0</v>
      </c>
      <c r="Q36" s="280"/>
      <c r="R36" s="185"/>
      <c r="S36" s="115">
        <f t="shared" si="3"/>
        <v>0</v>
      </c>
      <c r="T36" s="146" t="str" cm="1">
        <f t="array" ref="T36">IF(S36:S36=0,"Ei toimenpiteitä","Kirjoita tähän mitä tehdään")</f>
        <v>Ei toimenpiteitä</v>
      </c>
      <c r="U36" s="11"/>
      <c r="V36" s="109"/>
      <c r="W36" s="109"/>
      <c r="X36" s="109"/>
      <c r="Y36" s="109"/>
    </row>
    <row r="37" spans="1:25" s="110" customFormat="1" x14ac:dyDescent="0.35">
      <c r="A37" s="12"/>
      <c r="B37" s="320" t="str">
        <f>IF(T37="Kirjoita tähän mitä tehdään","Katokset *Rakennusselostus puuttuu","Katokset")</f>
        <v>Katokset</v>
      </c>
      <c r="C37" s="321"/>
      <c r="D37" s="175"/>
      <c r="E37" s="176"/>
      <c r="F37" s="176"/>
      <c r="G37" s="176"/>
      <c r="H37" s="271">
        <f t="shared" si="4"/>
        <v>0</v>
      </c>
      <c r="I37" s="176"/>
      <c r="J37" s="176"/>
      <c r="K37" s="176"/>
      <c r="L37" s="271">
        <f t="shared" si="5"/>
        <v>0</v>
      </c>
      <c r="M37" s="147"/>
      <c r="N37" s="184"/>
      <c r="O37" s="176"/>
      <c r="P37" s="177">
        <f t="shared" si="6"/>
        <v>0</v>
      </c>
      <c r="Q37" s="280"/>
      <c r="R37" s="185"/>
      <c r="S37" s="115">
        <f t="shared" si="3"/>
        <v>0</v>
      </c>
      <c r="T37" s="146" t="str" cm="1">
        <f t="array" ref="T37">IF(S37:S37=0,"Ei toimenpiteitä","Kirjoita tähän mitä tehdään")</f>
        <v>Ei toimenpiteitä</v>
      </c>
      <c r="U37" s="11"/>
      <c r="V37" s="109"/>
      <c r="W37" s="109"/>
      <c r="X37" s="109"/>
      <c r="Y37" s="109"/>
    </row>
    <row r="38" spans="1:25" s="110" customFormat="1" x14ac:dyDescent="0.35">
      <c r="A38" s="12"/>
      <c r="B38" s="188" t="str">
        <f>IF(T38="Kirjoita tähän mitä tehdään","Muu rakennusosa: *Rakennusselostus puuttuu","Muu rakennusosa:")</f>
        <v>Muu rakennusosa:</v>
      </c>
      <c r="C38" s="299"/>
      <c r="D38" s="175"/>
      <c r="E38" s="176"/>
      <c r="F38" s="176"/>
      <c r="G38" s="176"/>
      <c r="H38" s="271">
        <f t="shared" si="4"/>
        <v>0</v>
      </c>
      <c r="I38" s="176"/>
      <c r="J38" s="176"/>
      <c r="K38" s="176"/>
      <c r="L38" s="271">
        <f t="shared" si="5"/>
        <v>0</v>
      </c>
      <c r="M38" s="147"/>
      <c r="N38" s="184"/>
      <c r="O38" s="176"/>
      <c r="P38" s="177">
        <f t="shared" si="6"/>
        <v>0</v>
      </c>
      <c r="Q38" s="280"/>
      <c r="R38" s="185"/>
      <c r="S38" s="115">
        <f t="shared" si="3"/>
        <v>0</v>
      </c>
      <c r="T38" s="146" t="str" cm="1">
        <f t="array" ref="T38">IF(S38:S38=0,"Ei toimenpiteitä","Kirjoita tähän mitä tehdään")</f>
        <v>Ei toimenpiteitä</v>
      </c>
      <c r="U38" s="11"/>
      <c r="V38" s="109"/>
      <c r="W38" s="109"/>
      <c r="X38" s="109"/>
      <c r="Y38" s="109"/>
    </row>
    <row r="39" spans="1:25" s="110" customFormat="1" x14ac:dyDescent="0.35">
      <c r="A39" s="12"/>
      <c r="B39" s="188" t="str">
        <f>IF(T39="Kirjoita tähän mitä tehdään","Muu rakennusosa: *Rakennusselostus puuttuu","Muu rakennusosa:")</f>
        <v>Muu rakennusosa:</v>
      </c>
      <c r="C39" s="300"/>
      <c r="D39" s="175"/>
      <c r="E39" s="176"/>
      <c r="F39" s="176"/>
      <c r="G39" s="176"/>
      <c r="H39" s="271">
        <f t="shared" si="4"/>
        <v>0</v>
      </c>
      <c r="I39" s="176"/>
      <c r="J39" s="176"/>
      <c r="K39" s="176"/>
      <c r="L39" s="271">
        <f t="shared" si="5"/>
        <v>0</v>
      </c>
      <c r="M39" s="147"/>
      <c r="N39" s="184"/>
      <c r="O39" s="176"/>
      <c r="P39" s="177">
        <f t="shared" si="6"/>
        <v>0</v>
      </c>
      <c r="Q39" s="280"/>
      <c r="R39" s="185"/>
      <c r="S39" s="115">
        <f t="shared" si="3"/>
        <v>0</v>
      </c>
      <c r="T39" s="146" t="str" cm="1">
        <f t="array" ref="T39">IF(S39:S39=0,"Ei toimenpiteitä","Kirjoita tähän mitä tehdään")</f>
        <v>Ei toimenpiteitä</v>
      </c>
      <c r="U39" s="11"/>
      <c r="V39" s="109"/>
      <c r="W39" s="109"/>
      <c r="X39" s="109"/>
      <c r="Y39" s="109"/>
    </row>
    <row r="40" spans="1:25" s="110" customFormat="1" x14ac:dyDescent="0.35">
      <c r="A40" s="12"/>
      <c r="B40" s="188" t="str">
        <f>IF(T40="Kirjoita tähän mitä tehdään","Muu rakennusosa: *Rakennusselostus puuttuu","Muu rakennusosa:")</f>
        <v>Muu rakennusosa:</v>
      </c>
      <c r="C40" s="300"/>
      <c r="D40" s="175"/>
      <c r="E40" s="176"/>
      <c r="F40" s="176"/>
      <c r="G40" s="176"/>
      <c r="H40" s="271">
        <f t="shared" si="4"/>
        <v>0</v>
      </c>
      <c r="I40" s="176"/>
      <c r="J40" s="176"/>
      <c r="K40" s="176"/>
      <c r="L40" s="271">
        <f t="shared" si="5"/>
        <v>0</v>
      </c>
      <c r="M40" s="147"/>
      <c r="N40" s="184"/>
      <c r="O40" s="176"/>
      <c r="P40" s="177">
        <f t="shared" si="6"/>
        <v>0</v>
      </c>
      <c r="Q40" s="280"/>
      <c r="R40" s="185"/>
      <c r="S40" s="115">
        <f t="shared" si="3"/>
        <v>0</v>
      </c>
      <c r="T40" s="146" t="str" cm="1">
        <f t="array" ref="T40">IF(S40:S40=0,"Ei toimenpiteitä","Kirjoita tähän mitä tehdään")</f>
        <v>Ei toimenpiteitä</v>
      </c>
      <c r="U40" s="11"/>
      <c r="V40" s="109"/>
      <c r="W40" s="109"/>
      <c r="X40" s="109"/>
      <c r="Y40" s="109"/>
    </row>
    <row r="41" spans="1:25" s="114" customFormat="1" collapsed="1" x14ac:dyDescent="0.35">
      <c r="A41" s="44" t="s">
        <v>198</v>
      </c>
      <c r="B41" s="51"/>
      <c r="C41" s="286"/>
      <c r="D41" s="144"/>
      <c r="E41" s="148"/>
      <c r="F41" s="46"/>
      <c r="G41" s="148"/>
      <c r="H41" s="148"/>
      <c r="I41" s="152"/>
      <c r="J41" s="148"/>
      <c r="K41" s="148"/>
      <c r="L41" s="149"/>
      <c r="M41" s="147"/>
      <c r="N41" s="150"/>
      <c r="O41" s="151"/>
      <c r="P41" s="152"/>
      <c r="Q41" s="288"/>
      <c r="R41" s="153"/>
      <c r="S41" s="115">
        <f t="shared" si="3"/>
        <v>0</v>
      </c>
      <c r="T41" s="159"/>
      <c r="U41" s="11"/>
      <c r="V41" s="113"/>
      <c r="W41" s="113"/>
    </row>
    <row r="42" spans="1:25" x14ac:dyDescent="0.35">
      <c r="A42" s="10" t="s">
        <v>40</v>
      </c>
      <c r="B42" s="9"/>
      <c r="C42" s="27"/>
      <c r="D42" s="145"/>
      <c r="E42" s="156"/>
      <c r="F42" s="156"/>
      <c r="G42" s="156"/>
      <c r="H42" s="156"/>
      <c r="I42" s="156"/>
      <c r="J42" s="156"/>
      <c r="K42" s="156"/>
      <c r="L42" s="155"/>
      <c r="M42" s="157"/>
      <c r="N42" s="158"/>
      <c r="O42" s="156"/>
      <c r="P42" s="156"/>
      <c r="Q42" s="289"/>
      <c r="R42" s="252"/>
      <c r="S42" s="115">
        <f t="shared" si="3"/>
        <v>0</v>
      </c>
      <c r="T42" s="161"/>
      <c r="U42" s="11"/>
      <c r="V42" s="1"/>
      <c r="W42" s="1"/>
      <c r="X42" s="1"/>
      <c r="Y42" s="1"/>
    </row>
    <row r="43" spans="1:25" s="110" customFormat="1" x14ac:dyDescent="0.35">
      <c r="A43" s="12"/>
      <c r="B43" s="318" t="str">
        <f>IF(T43="Kirjoita tähän mitä tehdään","Perusmuurin purku *Rakennusselostus puuttuu","Perusmuurin purku")</f>
        <v>Perusmuurin purku</v>
      </c>
      <c r="C43" s="325"/>
      <c r="D43" s="175"/>
      <c r="E43" s="176"/>
      <c r="F43" s="176"/>
      <c r="G43" s="176"/>
      <c r="H43" s="271">
        <f t="shared" si="4"/>
        <v>0</v>
      </c>
      <c r="I43" s="176"/>
      <c r="J43" s="176"/>
      <c r="K43" s="176"/>
      <c r="L43" s="271">
        <f t="shared" si="5"/>
        <v>0</v>
      </c>
      <c r="M43" s="147"/>
      <c r="N43" s="184"/>
      <c r="O43" s="176"/>
      <c r="P43" s="177">
        <f t="shared" si="6"/>
        <v>0</v>
      </c>
      <c r="Q43" s="280"/>
      <c r="R43" s="185"/>
      <c r="S43" s="115">
        <f t="shared" si="3"/>
        <v>0</v>
      </c>
      <c r="T43" s="146" t="str" cm="1">
        <f t="array" ref="T43">IF(S43:S43=0,"Ei toimenpiteitä","Kirjoita tähän mitä tehdään")</f>
        <v>Ei toimenpiteitä</v>
      </c>
      <c r="U43" s="11"/>
      <c r="V43" s="109"/>
      <c r="W43" s="109"/>
      <c r="X43" s="109"/>
      <c r="Y43" s="109"/>
    </row>
    <row r="44" spans="1:25" s="110" customFormat="1" x14ac:dyDescent="0.35">
      <c r="A44" s="12"/>
      <c r="B44" s="320" t="str">
        <f>IF(T44="Kirjoita tähän mitä tehdään","Perusmuurin harkkomuuraus *Rakennusselostus puuttuu","Perusmuurin harkkomuuraus")</f>
        <v>Perusmuurin harkkomuuraus</v>
      </c>
      <c r="C44" s="321"/>
      <c r="D44" s="175"/>
      <c r="E44" s="176"/>
      <c r="F44" s="176"/>
      <c r="G44" s="176"/>
      <c r="H44" s="271">
        <f t="shared" si="4"/>
        <v>0</v>
      </c>
      <c r="I44" s="176"/>
      <c r="J44" s="176"/>
      <c r="K44" s="176"/>
      <c r="L44" s="271">
        <f t="shared" si="5"/>
        <v>0</v>
      </c>
      <c r="M44" s="147"/>
      <c r="N44" s="184"/>
      <c r="O44" s="176"/>
      <c r="P44" s="177">
        <f t="shared" si="6"/>
        <v>0</v>
      </c>
      <c r="Q44" s="280"/>
      <c r="R44" s="185"/>
      <c r="S44" s="115">
        <f t="shared" si="3"/>
        <v>0</v>
      </c>
      <c r="T44" s="146" t="str" cm="1">
        <f t="array" ref="T44">IF(S44:S44=0,"Ei toimenpiteitä","Kirjoita tähän mitä tehdään")</f>
        <v>Ei toimenpiteitä</v>
      </c>
      <c r="U44" s="11"/>
      <c r="V44" s="109"/>
      <c r="W44" s="109"/>
      <c r="X44" s="109"/>
      <c r="Y44" s="109"/>
    </row>
    <row r="45" spans="1:25" s="110" customFormat="1" x14ac:dyDescent="0.35">
      <c r="A45" s="12"/>
      <c r="B45" s="320" t="str">
        <f>IF(T45="Kirjoita tähän mitä tehdään","Perusmuurin betonivalu *Rakennusselostus puuttuu","Perusmuurin betonivalu")</f>
        <v>Perusmuurin betonivalu</v>
      </c>
      <c r="C45" s="321"/>
      <c r="D45" s="175"/>
      <c r="E45" s="176"/>
      <c r="F45" s="176"/>
      <c r="G45" s="176"/>
      <c r="H45" s="271">
        <f t="shared" si="4"/>
        <v>0</v>
      </c>
      <c r="I45" s="176"/>
      <c r="J45" s="176"/>
      <c r="K45" s="176"/>
      <c r="L45" s="271">
        <f t="shared" si="5"/>
        <v>0</v>
      </c>
      <c r="M45" s="147"/>
      <c r="N45" s="184"/>
      <c r="O45" s="176"/>
      <c r="P45" s="177">
        <f t="shared" si="6"/>
        <v>0</v>
      </c>
      <c r="Q45" s="280"/>
      <c r="R45" s="185"/>
      <c r="S45" s="115">
        <f t="shared" si="3"/>
        <v>0</v>
      </c>
      <c r="T45" s="146" t="str" cm="1">
        <f t="array" ref="T45">IF(S45:S45=0,"Ei toimenpiteitä","Kirjoita tähän mitä tehdään")</f>
        <v>Ei toimenpiteitä</v>
      </c>
      <c r="U45" s="11"/>
      <c r="V45" s="109"/>
      <c r="W45" s="109"/>
      <c r="X45" s="109"/>
      <c r="Y45" s="109"/>
    </row>
    <row r="46" spans="1:25" s="110" customFormat="1" x14ac:dyDescent="0.35">
      <c r="A46" s="12"/>
      <c r="B46" s="320" t="str">
        <f>IF(T46="Kirjoita tähän mitä tehdään","Routasuojaus *Rakennusselostus puuttuu","Routasuojaus")</f>
        <v>Routasuojaus</v>
      </c>
      <c r="C46" s="321"/>
      <c r="D46" s="175"/>
      <c r="E46" s="176"/>
      <c r="F46" s="176"/>
      <c r="G46" s="176"/>
      <c r="H46" s="271">
        <f t="shared" si="4"/>
        <v>0</v>
      </c>
      <c r="I46" s="176"/>
      <c r="J46" s="176"/>
      <c r="K46" s="176"/>
      <c r="L46" s="271">
        <f t="shared" si="5"/>
        <v>0</v>
      </c>
      <c r="M46" s="147"/>
      <c r="N46" s="184"/>
      <c r="O46" s="176"/>
      <c r="P46" s="177">
        <f t="shared" si="6"/>
        <v>0</v>
      </c>
      <c r="Q46" s="280"/>
      <c r="R46" s="185"/>
      <c r="S46" s="115">
        <f t="shared" si="3"/>
        <v>0</v>
      </c>
      <c r="T46" s="146" t="str" cm="1">
        <f t="array" ref="T46">IF(S46:S46=0,"Ei toimenpiteitä","Kirjoita tähän mitä tehdään")</f>
        <v>Ei toimenpiteitä</v>
      </c>
      <c r="U46" s="11"/>
      <c r="V46" s="109"/>
      <c r="W46" s="109"/>
      <c r="X46" s="109"/>
      <c r="Y46" s="109"/>
    </row>
    <row r="47" spans="1:25" s="110" customFormat="1" x14ac:dyDescent="0.35">
      <c r="A47" s="12"/>
      <c r="B47" s="320" t="str">
        <f>IF(T47="Kirjoita tähän mitä tehdään","Perusmuurin / sokkelin korjaus *Rakennusselostus puuttuu","Perusmuurin / sokkelin korjaus")</f>
        <v>Perusmuurin / sokkelin korjaus</v>
      </c>
      <c r="C47" s="321"/>
      <c r="D47" s="175"/>
      <c r="E47" s="176"/>
      <c r="F47" s="176"/>
      <c r="G47" s="176"/>
      <c r="H47" s="271">
        <f t="shared" si="4"/>
        <v>0</v>
      </c>
      <c r="I47" s="176"/>
      <c r="J47" s="176"/>
      <c r="K47" s="176"/>
      <c r="L47" s="271">
        <f t="shared" si="5"/>
        <v>0</v>
      </c>
      <c r="M47" s="147"/>
      <c r="N47" s="184"/>
      <c r="O47" s="176"/>
      <c r="P47" s="177">
        <f t="shared" si="6"/>
        <v>0</v>
      </c>
      <c r="Q47" s="280"/>
      <c r="R47" s="185"/>
      <c r="S47" s="115">
        <f t="shared" si="3"/>
        <v>0</v>
      </c>
      <c r="T47" s="146" t="str" cm="1">
        <f t="array" ref="T47">IF(S47:S47=0,"Ei toimenpiteitä","Kirjoita tähän mitä tehdään")</f>
        <v>Ei toimenpiteitä</v>
      </c>
      <c r="U47" s="11"/>
      <c r="V47" s="109"/>
      <c r="W47" s="109"/>
      <c r="X47" s="109"/>
      <c r="Y47" s="109"/>
    </row>
    <row r="48" spans="1:25" s="110" customFormat="1" x14ac:dyDescent="0.35">
      <c r="A48" s="12"/>
      <c r="B48" s="188" t="str">
        <f>IF(T48="Kirjoita tähän mitä tehdään","Muu korjaus: *Rakennusselostus puuttuu","Muu korjaus:")</f>
        <v>Muu korjaus:</v>
      </c>
      <c r="C48" s="300"/>
      <c r="D48" s="175"/>
      <c r="E48" s="176"/>
      <c r="F48" s="176"/>
      <c r="G48" s="176"/>
      <c r="H48" s="271">
        <f t="shared" si="4"/>
        <v>0</v>
      </c>
      <c r="I48" s="176"/>
      <c r="J48" s="176"/>
      <c r="K48" s="176"/>
      <c r="L48" s="271">
        <f t="shared" si="5"/>
        <v>0</v>
      </c>
      <c r="M48" s="147"/>
      <c r="N48" s="184"/>
      <c r="O48" s="176"/>
      <c r="P48" s="177">
        <f t="shared" si="6"/>
        <v>0</v>
      </c>
      <c r="Q48" s="280"/>
      <c r="R48" s="185"/>
      <c r="S48" s="115">
        <f t="shared" si="3"/>
        <v>0</v>
      </c>
      <c r="T48" s="146" t="str" cm="1">
        <f t="array" ref="T48">IF(S48:S48=0,"Ei toimenpiteitä","Kirjoita tähän mitä tehdään")</f>
        <v>Ei toimenpiteitä</v>
      </c>
      <c r="U48" s="11"/>
      <c r="V48" s="109"/>
      <c r="W48" s="109"/>
      <c r="X48" s="109"/>
      <c r="Y48" s="109"/>
    </row>
    <row r="49" spans="1:25" x14ac:dyDescent="0.35">
      <c r="A49" s="10" t="s">
        <v>44</v>
      </c>
      <c r="B49" s="27"/>
      <c r="C49" s="9"/>
      <c r="D49" s="145"/>
      <c r="E49" s="156"/>
      <c r="F49" s="156"/>
      <c r="G49" s="156"/>
      <c r="H49" s="156"/>
      <c r="I49" s="156"/>
      <c r="J49" s="156"/>
      <c r="K49" s="156"/>
      <c r="L49" s="155"/>
      <c r="M49" s="157"/>
      <c r="N49" s="158"/>
      <c r="O49" s="156"/>
      <c r="P49" s="156"/>
      <c r="Q49" s="289"/>
      <c r="R49" s="252"/>
      <c r="S49" s="115">
        <f t="shared" si="3"/>
        <v>0</v>
      </c>
      <c r="T49" s="161"/>
      <c r="U49" s="11"/>
      <c r="V49" s="1"/>
      <c r="W49" s="1"/>
      <c r="X49" s="1"/>
      <c r="Y49" s="1"/>
    </row>
    <row r="50" spans="1:25" s="110" customFormat="1" x14ac:dyDescent="0.35">
      <c r="A50" s="12"/>
      <c r="B50" s="318" t="str">
        <f>IF(T50="Kirjoita tähän mitä tehdään","Ryömintätilan orgaanisen aineksen poistaminen *Rakennusselostus puuttuu","Ryömintätilan orgaanisen aineksen poistaminen")</f>
        <v>Ryömintätilan orgaanisen aineksen poistaminen</v>
      </c>
      <c r="C50" s="325"/>
      <c r="D50" s="175"/>
      <c r="E50" s="176"/>
      <c r="F50" s="176"/>
      <c r="G50" s="176"/>
      <c r="H50" s="271">
        <f t="shared" si="4"/>
        <v>0</v>
      </c>
      <c r="I50" s="176"/>
      <c r="J50" s="176"/>
      <c r="K50" s="176"/>
      <c r="L50" s="271">
        <f t="shared" si="5"/>
        <v>0</v>
      </c>
      <c r="M50" s="147"/>
      <c r="N50" s="184"/>
      <c r="O50" s="176"/>
      <c r="P50" s="177">
        <f t="shared" si="6"/>
        <v>0</v>
      </c>
      <c r="Q50" s="280"/>
      <c r="R50" s="185"/>
      <c r="S50" s="115">
        <f t="shared" si="3"/>
        <v>0</v>
      </c>
      <c r="T50" s="146" t="str" cm="1">
        <f t="array" ref="T50">IF(S50:S50=0,"Ei toimenpiteitä","Kirjoita tähän mitä tehdään")</f>
        <v>Ei toimenpiteitä</v>
      </c>
      <c r="U50" s="11"/>
      <c r="V50" s="109"/>
      <c r="W50" s="109"/>
      <c r="X50" s="109"/>
      <c r="Y50" s="109"/>
    </row>
    <row r="51" spans="1:25" s="110" customFormat="1" x14ac:dyDescent="0.35">
      <c r="A51" s="12"/>
      <c r="B51" s="320" t="str">
        <f>IF(T51="Kirjoita tähän mitä tehdään","Ryömintätilan maa-aineksen poistaminen *Rakennusselostus puuttuu","Ryömintätilan maa-aineksen poistaminen")</f>
        <v>Ryömintätilan maa-aineksen poistaminen</v>
      </c>
      <c r="C51" s="321"/>
      <c r="D51" s="175"/>
      <c r="E51" s="176"/>
      <c r="F51" s="176"/>
      <c r="G51" s="176"/>
      <c r="H51" s="271">
        <f t="shared" si="4"/>
        <v>0</v>
      </c>
      <c r="I51" s="176"/>
      <c r="J51" s="176"/>
      <c r="K51" s="176"/>
      <c r="L51" s="271">
        <f t="shared" si="5"/>
        <v>0</v>
      </c>
      <c r="M51" s="147"/>
      <c r="N51" s="184"/>
      <c r="O51" s="176"/>
      <c r="P51" s="177">
        <f t="shared" si="6"/>
        <v>0</v>
      </c>
      <c r="Q51" s="280"/>
      <c r="R51" s="185"/>
      <c r="S51" s="115">
        <f t="shared" si="3"/>
        <v>0</v>
      </c>
      <c r="T51" s="146" t="str" cm="1">
        <f t="array" ref="T51">IF(S51:S51=0,"Ei toimenpiteitä","Kirjoita tähän mitä tehdään")</f>
        <v>Ei toimenpiteitä</v>
      </c>
      <c r="U51" s="11"/>
      <c r="V51" s="109"/>
      <c r="W51" s="109"/>
      <c r="X51" s="109"/>
      <c r="Y51" s="109"/>
    </row>
    <row r="52" spans="1:25" s="110" customFormat="1" x14ac:dyDescent="0.35">
      <c r="A52" s="12"/>
      <c r="B52" s="320" t="str">
        <f>IF(T52="Kirjoita tähän mitä tehdään","Alapohjan rungon lahovaurioiden korjaaminen *Rakennusselostus puuttuu","Alapohjan rungon lahovaurioiden korjaaminen")</f>
        <v>Alapohjan rungon lahovaurioiden korjaaminen</v>
      </c>
      <c r="C52" s="321"/>
      <c r="D52" s="175"/>
      <c r="E52" s="176"/>
      <c r="F52" s="176"/>
      <c r="G52" s="176"/>
      <c r="H52" s="271">
        <f t="shared" si="4"/>
        <v>0</v>
      </c>
      <c r="I52" s="176"/>
      <c r="J52" s="176"/>
      <c r="K52" s="176"/>
      <c r="L52" s="271">
        <f t="shared" si="5"/>
        <v>0</v>
      </c>
      <c r="M52" s="147"/>
      <c r="N52" s="184"/>
      <c r="O52" s="176"/>
      <c r="P52" s="177">
        <f t="shared" si="6"/>
        <v>0</v>
      </c>
      <c r="Q52" s="280"/>
      <c r="R52" s="185"/>
      <c r="S52" s="115">
        <f t="shared" si="3"/>
        <v>0</v>
      </c>
      <c r="T52" s="146" t="str" cm="1">
        <f t="array" ref="T52">IF(S52:S52=0,"Ei toimenpiteitä","Kirjoita tähän mitä tehdään")</f>
        <v>Ei toimenpiteitä</v>
      </c>
      <c r="U52" s="11"/>
      <c r="V52" s="109"/>
      <c r="W52" s="109"/>
      <c r="X52" s="109"/>
      <c r="Y52" s="109"/>
    </row>
    <row r="53" spans="1:25" s="110" customFormat="1" x14ac:dyDescent="0.35">
      <c r="A53" s="12"/>
      <c r="B53" s="320" t="str">
        <f>IF(T53="Kirjoita tähän mitä tehdään","Alapohjan uuden rungon rakentaminen *Rakennusselostus puuttuu","Alapohjan uuden rungon rakentaminen")</f>
        <v>Alapohjan uuden rungon rakentaminen</v>
      </c>
      <c r="C53" s="321"/>
      <c r="D53" s="175"/>
      <c r="E53" s="176"/>
      <c r="F53" s="176"/>
      <c r="G53" s="176"/>
      <c r="H53" s="271">
        <f t="shared" si="4"/>
        <v>0</v>
      </c>
      <c r="I53" s="176"/>
      <c r="J53" s="176"/>
      <c r="K53" s="176"/>
      <c r="L53" s="271">
        <f t="shared" si="5"/>
        <v>0</v>
      </c>
      <c r="M53" s="147"/>
      <c r="N53" s="184"/>
      <c r="O53" s="176"/>
      <c r="P53" s="177">
        <f t="shared" si="6"/>
        <v>0</v>
      </c>
      <c r="Q53" s="280"/>
      <c r="R53" s="185"/>
      <c r="S53" s="115">
        <f t="shared" si="3"/>
        <v>0</v>
      </c>
      <c r="T53" s="146" t="str" cm="1">
        <f t="array" ref="T53">IF(S53:S53=0,"Ei toimenpiteitä","Kirjoita tähän mitä tehdään")</f>
        <v>Ei toimenpiteitä</v>
      </c>
      <c r="U53" s="11"/>
      <c r="V53" s="109"/>
      <c r="W53" s="109"/>
      <c r="X53" s="109"/>
      <c r="Y53" s="109"/>
    </row>
    <row r="54" spans="1:25" s="110" customFormat="1" x14ac:dyDescent="0.35">
      <c r="A54" s="12"/>
      <c r="B54" s="320" t="str">
        <f>IF(T54="Kirjoita tähän mitä tehdään","Alapohjan lisäeristäminen *Rakennusselostus puuttuu","Alapohjan lisäeristäminen")</f>
        <v>Alapohjan lisäeristäminen</v>
      </c>
      <c r="C54" s="321"/>
      <c r="D54" s="175"/>
      <c r="E54" s="176"/>
      <c r="F54" s="176"/>
      <c r="G54" s="176"/>
      <c r="H54" s="271">
        <f t="shared" si="4"/>
        <v>0</v>
      </c>
      <c r="I54" s="176"/>
      <c r="J54" s="176"/>
      <c r="K54" s="176"/>
      <c r="L54" s="271">
        <f t="shared" si="5"/>
        <v>0</v>
      </c>
      <c r="M54" s="147"/>
      <c r="N54" s="184"/>
      <c r="O54" s="176"/>
      <c r="P54" s="177">
        <f t="shared" si="6"/>
        <v>0</v>
      </c>
      <c r="Q54" s="280"/>
      <c r="R54" s="185"/>
      <c r="S54" s="115">
        <f t="shared" si="3"/>
        <v>0</v>
      </c>
      <c r="T54" s="146" t="str" cm="1">
        <f t="array" ref="T54">IF(S54:S54=0,"Ei toimenpiteitä","Kirjoita tähän mitä tehdään")</f>
        <v>Ei toimenpiteitä</v>
      </c>
      <c r="U54" s="11"/>
      <c r="V54" s="109"/>
      <c r="W54" s="109"/>
      <c r="X54" s="109"/>
      <c r="Y54" s="109"/>
    </row>
    <row r="55" spans="1:25" s="110" customFormat="1" x14ac:dyDescent="0.35">
      <c r="A55" s="12"/>
      <c r="B55" s="320" t="str">
        <f>IF(T55="Kirjoita tähän mitä tehdään","Routasuojaus ja täyttö *Rakennusselostus puuttuu","Routasuojaus ja täyttö")</f>
        <v>Routasuojaus ja täyttö</v>
      </c>
      <c r="C55" s="321"/>
      <c r="D55" s="175"/>
      <c r="E55" s="176"/>
      <c r="F55" s="176"/>
      <c r="G55" s="176"/>
      <c r="H55" s="271">
        <f t="shared" si="4"/>
        <v>0</v>
      </c>
      <c r="I55" s="176"/>
      <c r="J55" s="176"/>
      <c r="K55" s="176"/>
      <c r="L55" s="271">
        <f t="shared" si="5"/>
        <v>0</v>
      </c>
      <c r="M55" s="147"/>
      <c r="N55" s="184"/>
      <c r="O55" s="176"/>
      <c r="P55" s="177">
        <f t="shared" si="6"/>
        <v>0</v>
      </c>
      <c r="Q55" s="280"/>
      <c r="R55" s="185"/>
      <c r="S55" s="115">
        <f t="shared" si="3"/>
        <v>0</v>
      </c>
      <c r="T55" s="146" t="str" cm="1">
        <f t="array" ref="T55">IF(S55:S55=0,"Ei toimenpiteitä","Kirjoita tähän mitä tehdään")</f>
        <v>Ei toimenpiteitä</v>
      </c>
      <c r="U55" s="11"/>
      <c r="V55" s="109"/>
      <c r="W55" s="109"/>
      <c r="X55" s="109"/>
      <c r="Y55" s="109"/>
    </row>
    <row r="56" spans="1:25" s="110" customFormat="1" x14ac:dyDescent="0.35">
      <c r="A56" s="12"/>
      <c r="B56" s="188" t="str">
        <f>IF(T56="Kirjoita tähän mitä tehdään","Muu korjaus: *Rakennusselostus puuttuu","Muu korjaus:")</f>
        <v>Muu korjaus:</v>
      </c>
      <c r="C56" s="299"/>
      <c r="D56" s="175"/>
      <c r="E56" s="176"/>
      <c r="F56" s="176"/>
      <c r="G56" s="176"/>
      <c r="H56" s="271">
        <f t="shared" si="4"/>
        <v>0</v>
      </c>
      <c r="I56" s="176"/>
      <c r="J56" s="176"/>
      <c r="K56" s="176"/>
      <c r="L56" s="271">
        <f t="shared" si="5"/>
        <v>0</v>
      </c>
      <c r="M56" s="147"/>
      <c r="N56" s="184"/>
      <c r="O56" s="176"/>
      <c r="P56" s="177">
        <f t="shared" si="6"/>
        <v>0</v>
      </c>
      <c r="Q56" s="280"/>
      <c r="R56" s="185"/>
      <c r="S56" s="115">
        <f t="shared" si="3"/>
        <v>0</v>
      </c>
      <c r="T56" s="146" t="str" cm="1">
        <f t="array" ref="T56">IF(S56:S56=0,"Ei toimenpiteitä","Kirjoita tähän mitä tehdään")</f>
        <v>Ei toimenpiteitä</v>
      </c>
      <c r="U56" s="11"/>
      <c r="V56" s="109"/>
      <c r="W56" s="109"/>
      <c r="X56" s="109"/>
      <c r="Y56" s="109"/>
    </row>
    <row r="57" spans="1:25" x14ac:dyDescent="0.35">
      <c r="A57" s="10" t="s">
        <v>51</v>
      </c>
      <c r="B57" s="27"/>
      <c r="C57" s="9"/>
      <c r="D57" s="145"/>
      <c r="E57" s="156"/>
      <c r="F57" s="156"/>
      <c r="G57" s="156"/>
      <c r="H57" s="156"/>
      <c r="I57" s="156"/>
      <c r="J57" s="156"/>
      <c r="K57" s="156"/>
      <c r="L57" s="155"/>
      <c r="M57" s="157"/>
      <c r="N57" s="158"/>
      <c r="O57" s="156"/>
      <c r="P57" s="156"/>
      <c r="Q57" s="289"/>
      <c r="R57" s="252"/>
      <c r="S57" s="115">
        <f t="shared" si="3"/>
        <v>0</v>
      </c>
      <c r="T57" s="161"/>
      <c r="U57" s="11"/>
      <c r="V57" s="1"/>
      <c r="W57" s="1"/>
      <c r="X57" s="1"/>
      <c r="Y57" s="1"/>
    </row>
    <row r="58" spans="1:25" s="110" customFormat="1" x14ac:dyDescent="0.35">
      <c r="A58" s="12"/>
      <c r="B58" s="318" t="str">
        <f>IF(T58="Kirjoita tähän mitä tehdään","Asbestipurkutyö *Rakennusselostus puuttuu","Asbestipurkutyö")</f>
        <v>Asbestipurkutyö</v>
      </c>
      <c r="C58" s="325"/>
      <c r="D58" s="175"/>
      <c r="E58" s="176"/>
      <c r="F58" s="176"/>
      <c r="G58" s="176"/>
      <c r="H58" s="271">
        <f t="shared" si="4"/>
        <v>0</v>
      </c>
      <c r="I58" s="176"/>
      <c r="J58" s="176"/>
      <c r="K58" s="176"/>
      <c r="L58" s="271">
        <f t="shared" si="5"/>
        <v>0</v>
      </c>
      <c r="M58" s="147"/>
      <c r="N58" s="184"/>
      <c r="O58" s="176"/>
      <c r="P58" s="177">
        <f t="shared" si="6"/>
        <v>0</v>
      </c>
      <c r="Q58" s="280"/>
      <c r="R58" s="185"/>
      <c r="S58" s="115">
        <f t="shared" si="3"/>
        <v>0</v>
      </c>
      <c r="T58" s="146" t="str" cm="1">
        <f t="array" ref="T58">IF(S58:S58=0,"Ei toimenpiteitä","Kirjoita tähän mitä tehdään")</f>
        <v>Ei toimenpiteitä</v>
      </c>
      <c r="U58" s="11"/>
      <c r="V58" s="109"/>
      <c r="W58" s="109"/>
      <c r="X58" s="109"/>
      <c r="Y58" s="109"/>
    </row>
    <row r="59" spans="1:25" s="110" customFormat="1" x14ac:dyDescent="0.35">
      <c r="A59" s="12"/>
      <c r="B59" s="320" t="str">
        <f>IF(T59="Kirjoita tähän mitä tehdään","Kantavien rakenteiden tukeminen ennen purkamista *Rakennusselostus puuttuu","Kantavien rakenteiden tukeminen ennen purkamista")</f>
        <v>Kantavien rakenteiden tukeminen ennen purkamista</v>
      </c>
      <c r="C59" s="321"/>
      <c r="D59" s="175"/>
      <c r="E59" s="176"/>
      <c r="F59" s="176"/>
      <c r="G59" s="176"/>
      <c r="H59" s="271">
        <f t="shared" si="4"/>
        <v>0</v>
      </c>
      <c r="I59" s="176"/>
      <c r="J59" s="176"/>
      <c r="K59" s="176"/>
      <c r="L59" s="271">
        <f t="shared" si="5"/>
        <v>0</v>
      </c>
      <c r="M59" s="147"/>
      <c r="N59" s="184"/>
      <c r="O59" s="176"/>
      <c r="P59" s="177">
        <f t="shared" si="6"/>
        <v>0</v>
      </c>
      <c r="Q59" s="280"/>
      <c r="R59" s="185"/>
      <c r="S59" s="115">
        <f t="shared" si="3"/>
        <v>0</v>
      </c>
      <c r="T59" s="146" t="str" cm="1">
        <f t="array" ref="T59">IF(S59:S59=0,"Ei toimenpiteitä","Kirjoita tähän mitä tehdään")</f>
        <v>Ei toimenpiteitä</v>
      </c>
      <c r="U59" s="11"/>
      <c r="V59" s="109"/>
      <c r="W59" s="109"/>
      <c r="X59" s="109"/>
      <c r="Y59" s="109"/>
    </row>
    <row r="60" spans="1:25" s="110" customFormat="1" x14ac:dyDescent="0.35">
      <c r="A60" s="12"/>
      <c r="B60" s="320" t="str">
        <f>IF(T60="Kirjoita tähän mitä tehdään","Kantavien rakenteiden purkaminen *Rakennusselostus puuttuu","Kantavien rakenteiden purkaminen")</f>
        <v>Kantavien rakenteiden purkaminen</v>
      </c>
      <c r="C60" s="321"/>
      <c r="D60" s="175"/>
      <c r="E60" s="176"/>
      <c r="F60" s="176"/>
      <c r="G60" s="176"/>
      <c r="H60" s="271">
        <f t="shared" si="4"/>
        <v>0</v>
      </c>
      <c r="I60" s="176"/>
      <c r="J60" s="176"/>
      <c r="K60" s="176"/>
      <c r="L60" s="271">
        <f t="shared" si="5"/>
        <v>0</v>
      </c>
      <c r="M60" s="147"/>
      <c r="N60" s="184"/>
      <c r="O60" s="176"/>
      <c r="P60" s="177">
        <f t="shared" si="6"/>
        <v>0</v>
      </c>
      <c r="Q60" s="280"/>
      <c r="R60" s="185"/>
      <c r="S60" s="115">
        <f t="shared" si="3"/>
        <v>0</v>
      </c>
      <c r="T60" s="146" t="str" cm="1">
        <f t="array" ref="T60">IF(S60:S60=0,"Ei toimenpiteitä","Kirjoita tähän mitä tehdään")</f>
        <v>Ei toimenpiteitä</v>
      </c>
      <c r="U60" s="11"/>
      <c r="V60" s="109"/>
      <c r="W60" s="109"/>
      <c r="X60" s="109"/>
      <c r="Y60" s="109"/>
    </row>
    <row r="61" spans="1:25" s="110" customFormat="1" x14ac:dyDescent="0.35">
      <c r="A61" s="12"/>
      <c r="B61" s="320" t="str">
        <f>IF(T61="Kirjoita tähän mitä tehdään","Kantavien rakenteiden korjaustyö  *Rakennusselostus puuttuu","Kantavien rakenteiden korjaustyö ")</f>
        <v xml:space="preserve">Kantavien rakenteiden korjaustyö </v>
      </c>
      <c r="C61" s="321"/>
      <c r="D61" s="175"/>
      <c r="E61" s="176"/>
      <c r="F61" s="176"/>
      <c r="G61" s="176"/>
      <c r="H61" s="271">
        <f t="shared" si="4"/>
        <v>0</v>
      </c>
      <c r="I61" s="176"/>
      <c r="J61" s="176"/>
      <c r="K61" s="176"/>
      <c r="L61" s="271">
        <f t="shared" si="5"/>
        <v>0</v>
      </c>
      <c r="M61" s="147"/>
      <c r="N61" s="184"/>
      <c r="O61" s="176"/>
      <c r="P61" s="177">
        <f t="shared" si="6"/>
        <v>0</v>
      </c>
      <c r="Q61" s="280"/>
      <c r="R61" s="185"/>
      <c r="S61" s="115">
        <f t="shared" si="3"/>
        <v>0</v>
      </c>
      <c r="T61" s="146" t="str" cm="1">
        <f t="array" ref="T61">IF(S61:S61=0,"Ei toimenpiteitä","Kirjoita tähän mitä tehdään")</f>
        <v>Ei toimenpiteitä</v>
      </c>
      <c r="U61" s="11"/>
      <c r="V61" s="109"/>
      <c r="W61" s="109"/>
      <c r="X61" s="109"/>
      <c r="Y61" s="109"/>
    </row>
    <row r="62" spans="1:25" s="110" customFormat="1" x14ac:dyDescent="0.35">
      <c r="A62" s="12"/>
      <c r="B62" s="320" t="str">
        <f>IF(T62="Kirjoita tähän mitä tehdään","Ulkoseinän koolaus ja lisäeristäminen  *Rakennusselostus puuttuu","Ulkoseinän koolaus ja lisäeristäminen ")</f>
        <v xml:space="preserve">Ulkoseinän koolaus ja lisäeristäminen </v>
      </c>
      <c r="C62" s="321"/>
      <c r="D62" s="175"/>
      <c r="E62" s="176"/>
      <c r="F62" s="176"/>
      <c r="G62" s="176"/>
      <c r="H62" s="271">
        <f t="shared" si="4"/>
        <v>0</v>
      </c>
      <c r="I62" s="176"/>
      <c r="J62" s="176"/>
      <c r="K62" s="176"/>
      <c r="L62" s="271">
        <f t="shared" si="5"/>
        <v>0</v>
      </c>
      <c r="M62" s="147"/>
      <c r="N62" s="184"/>
      <c r="O62" s="176"/>
      <c r="P62" s="177">
        <f t="shared" si="6"/>
        <v>0</v>
      </c>
      <c r="Q62" s="280"/>
      <c r="R62" s="185"/>
      <c r="S62" s="115">
        <f t="shared" si="3"/>
        <v>0</v>
      </c>
      <c r="T62" s="146" t="str" cm="1">
        <f t="array" ref="T62">IF(S62:S62=0,"Ei toimenpiteitä","Kirjoita tähän mitä tehdään")</f>
        <v>Ei toimenpiteitä</v>
      </c>
      <c r="U62" s="11"/>
      <c r="V62" s="109"/>
      <c r="W62" s="109"/>
      <c r="X62" s="109"/>
      <c r="Y62" s="109"/>
    </row>
    <row r="63" spans="1:25" s="110" customFormat="1" x14ac:dyDescent="0.35">
      <c r="A63" s="12"/>
      <c r="B63" s="320" t="str">
        <f>IF(T63="Kirjoita tähän mitä tehdään","Yläpohjan lisäeristäminen *Rakennusselostus puuttuu","Yläpohjan lisäeristäminen")</f>
        <v>Yläpohjan lisäeristäminen</v>
      </c>
      <c r="C63" s="321"/>
      <c r="D63" s="175"/>
      <c r="E63" s="176"/>
      <c r="F63" s="176"/>
      <c r="G63" s="176"/>
      <c r="H63" s="271">
        <f t="shared" si="4"/>
        <v>0</v>
      </c>
      <c r="I63" s="176"/>
      <c r="J63" s="176"/>
      <c r="K63" s="176"/>
      <c r="L63" s="271">
        <f t="shared" si="5"/>
        <v>0</v>
      </c>
      <c r="M63" s="147"/>
      <c r="N63" s="184"/>
      <c r="O63" s="176"/>
      <c r="P63" s="177">
        <f t="shared" si="6"/>
        <v>0</v>
      </c>
      <c r="Q63" s="280"/>
      <c r="R63" s="185"/>
      <c r="S63" s="115">
        <f t="shared" si="3"/>
        <v>0</v>
      </c>
      <c r="T63" s="146" t="str" cm="1">
        <f t="array" ref="T63">IF(S63:S63=0,"Ei toimenpiteitä","Kirjoita tähän mitä tehdään")</f>
        <v>Ei toimenpiteitä</v>
      </c>
      <c r="U63" s="11"/>
      <c r="V63" s="109"/>
      <c r="W63" s="109"/>
      <c r="X63" s="109"/>
      <c r="Y63" s="109"/>
    </row>
    <row r="64" spans="1:25" s="110" customFormat="1" x14ac:dyDescent="0.35">
      <c r="A64" s="12"/>
      <c r="B64" s="320" t="str">
        <f>IF(T64="Kirjoita tähän mitä tehdään","Välipohjan purkaminen *Rakennusselostus puuttuu","Välipohjan purkaminen")</f>
        <v>Välipohjan purkaminen</v>
      </c>
      <c r="C64" s="321"/>
      <c r="D64" s="175"/>
      <c r="E64" s="176"/>
      <c r="F64" s="176"/>
      <c r="G64" s="176"/>
      <c r="H64" s="271">
        <f t="shared" si="4"/>
        <v>0</v>
      </c>
      <c r="I64" s="176"/>
      <c r="J64" s="176"/>
      <c r="K64" s="176"/>
      <c r="L64" s="271">
        <f t="shared" si="5"/>
        <v>0</v>
      </c>
      <c r="M64" s="147"/>
      <c r="N64" s="184"/>
      <c r="O64" s="176"/>
      <c r="P64" s="177">
        <f t="shared" si="6"/>
        <v>0</v>
      </c>
      <c r="Q64" s="280"/>
      <c r="R64" s="185"/>
      <c r="S64" s="115">
        <f t="shared" si="3"/>
        <v>0</v>
      </c>
      <c r="T64" s="146" t="str" cm="1">
        <f t="array" ref="T64">IF(S64:S64=0,"Ei toimenpiteitä","Kirjoita tähän mitä tehdään")</f>
        <v>Ei toimenpiteitä</v>
      </c>
      <c r="U64" s="11"/>
      <c r="V64" s="109"/>
      <c r="W64" s="109"/>
      <c r="X64" s="109"/>
      <c r="Y64" s="109"/>
    </row>
    <row r="65" spans="1:25" s="110" customFormat="1" x14ac:dyDescent="0.35">
      <c r="A65" s="12"/>
      <c r="B65" s="320" t="str">
        <f>IF(T65="Kirjoita tähän mitä tehdään","Välipohjan rakenteiden korjaustyö *Rakennusselostus puuttuu","Välipohjan rakenteiden korjaustyö")</f>
        <v>Välipohjan rakenteiden korjaustyö</v>
      </c>
      <c r="C65" s="321"/>
      <c r="D65" s="175"/>
      <c r="E65" s="176"/>
      <c r="F65" s="176"/>
      <c r="G65" s="176"/>
      <c r="H65" s="271">
        <f t="shared" si="4"/>
        <v>0</v>
      </c>
      <c r="I65" s="176"/>
      <c r="J65" s="176"/>
      <c r="K65" s="176"/>
      <c r="L65" s="271">
        <f t="shared" si="5"/>
        <v>0</v>
      </c>
      <c r="M65" s="147"/>
      <c r="N65" s="184"/>
      <c r="O65" s="176"/>
      <c r="P65" s="177">
        <f t="shared" si="6"/>
        <v>0</v>
      </c>
      <c r="Q65" s="280"/>
      <c r="R65" s="185"/>
      <c r="S65" s="115">
        <f t="shared" si="3"/>
        <v>0</v>
      </c>
      <c r="T65" s="146" t="str" cm="1">
        <f t="array" ref="T65">IF(S65:S65=0,"Ei toimenpiteitä","Kirjoita tähän mitä tehdään")</f>
        <v>Ei toimenpiteitä</v>
      </c>
      <c r="U65" s="11"/>
      <c r="V65" s="109"/>
      <c r="W65" s="109"/>
      <c r="X65" s="109"/>
      <c r="Y65" s="109"/>
    </row>
    <row r="66" spans="1:25" s="110" customFormat="1" x14ac:dyDescent="0.35">
      <c r="A66" s="12"/>
      <c r="B66" s="320" t="str">
        <f>IF(T66="Kirjoita tähän mitä tehdään","Sisäportaiden purkaminen *Rakennusselostus puuttuu","Sisäportaiden purkaminen")</f>
        <v>Sisäportaiden purkaminen</v>
      </c>
      <c r="C66" s="321"/>
      <c r="D66" s="175"/>
      <c r="E66" s="176"/>
      <c r="F66" s="176"/>
      <c r="G66" s="176"/>
      <c r="H66" s="271">
        <f t="shared" si="4"/>
        <v>0</v>
      </c>
      <c r="I66" s="176"/>
      <c r="J66" s="176"/>
      <c r="K66" s="176"/>
      <c r="L66" s="271">
        <f t="shared" si="5"/>
        <v>0</v>
      </c>
      <c r="M66" s="147"/>
      <c r="N66" s="184"/>
      <c r="O66" s="176"/>
      <c r="P66" s="177">
        <f t="shared" si="6"/>
        <v>0</v>
      </c>
      <c r="Q66" s="280"/>
      <c r="R66" s="185"/>
      <c r="S66" s="115">
        <f t="shared" si="3"/>
        <v>0</v>
      </c>
      <c r="T66" s="146" t="str" cm="1">
        <f t="array" ref="T66">IF(S66:S66=0,"Ei toimenpiteitä","Kirjoita tähän mitä tehdään")</f>
        <v>Ei toimenpiteitä</v>
      </c>
      <c r="U66" s="11"/>
      <c r="V66" s="109"/>
      <c r="W66" s="109"/>
      <c r="X66" s="109"/>
      <c r="Y66" s="109"/>
    </row>
    <row r="67" spans="1:25" s="110" customFormat="1" x14ac:dyDescent="0.35">
      <c r="A67" s="12"/>
      <c r="B67" s="320" t="str">
        <f>IF(T67="Kirjoita tähän mitä tehdään","Uusien portaiden rakentaminen *Rakennusselostus puuttuu","Uusien portaiden rakentaminen")</f>
        <v>Uusien portaiden rakentaminen</v>
      </c>
      <c r="C67" s="321"/>
      <c r="D67" s="175"/>
      <c r="E67" s="176"/>
      <c r="F67" s="176"/>
      <c r="G67" s="176"/>
      <c r="H67" s="271">
        <f t="shared" si="4"/>
        <v>0</v>
      </c>
      <c r="I67" s="176"/>
      <c r="J67" s="176"/>
      <c r="K67" s="176"/>
      <c r="L67" s="271">
        <f t="shared" si="5"/>
        <v>0</v>
      </c>
      <c r="M67" s="147"/>
      <c r="N67" s="184"/>
      <c r="O67" s="176"/>
      <c r="P67" s="177">
        <f t="shared" si="6"/>
        <v>0</v>
      </c>
      <c r="Q67" s="280"/>
      <c r="R67" s="185"/>
      <c r="S67" s="115">
        <f t="shared" si="3"/>
        <v>0</v>
      </c>
      <c r="T67" s="146" t="str" cm="1">
        <f t="array" ref="T67">IF(S67:S67=0,"Ei toimenpiteitä","Kirjoita tähän mitä tehdään")</f>
        <v>Ei toimenpiteitä</v>
      </c>
      <c r="U67" s="11"/>
      <c r="V67" s="109"/>
      <c r="W67" s="109"/>
      <c r="X67" s="109"/>
      <c r="Y67" s="109"/>
    </row>
    <row r="68" spans="1:25" s="110" customFormat="1" x14ac:dyDescent="0.35">
      <c r="A68" s="12"/>
      <c r="B68" s="188" t="str">
        <f>IF(T68="Kirjoita tähän mitä tehdään","Muu korjaus: *Rakennusselostus puuttuu","Muu korjaus:")</f>
        <v>Muu korjaus:</v>
      </c>
      <c r="C68" s="299"/>
      <c r="D68" s="175"/>
      <c r="E68" s="176"/>
      <c r="F68" s="176"/>
      <c r="G68" s="176"/>
      <c r="H68" s="271">
        <f t="shared" si="4"/>
        <v>0</v>
      </c>
      <c r="I68" s="176"/>
      <c r="J68" s="176"/>
      <c r="K68" s="176"/>
      <c r="L68" s="271">
        <f t="shared" si="5"/>
        <v>0</v>
      </c>
      <c r="M68" s="147"/>
      <c r="N68" s="184"/>
      <c r="O68" s="176"/>
      <c r="P68" s="177">
        <f t="shared" si="6"/>
        <v>0</v>
      </c>
      <c r="Q68" s="280"/>
      <c r="R68" s="185"/>
      <c r="S68" s="115">
        <f t="shared" si="3"/>
        <v>0</v>
      </c>
      <c r="T68" s="146" t="str" cm="1">
        <f t="array" ref="T68">IF(S68:S68=0,"Ei toimenpiteitä","Kirjoita tähän mitä tehdään")</f>
        <v>Ei toimenpiteitä</v>
      </c>
      <c r="U68" s="11"/>
      <c r="V68" s="109"/>
      <c r="W68" s="109"/>
      <c r="X68" s="109"/>
      <c r="Y68" s="109"/>
    </row>
    <row r="69" spans="1:25" x14ac:dyDescent="0.35">
      <c r="A69" s="10" t="s">
        <v>39</v>
      </c>
      <c r="B69" s="27"/>
      <c r="C69" s="9"/>
      <c r="D69" s="145"/>
      <c r="E69" s="156"/>
      <c r="F69" s="156"/>
      <c r="G69" s="156"/>
      <c r="H69" s="156"/>
      <c r="I69" s="156"/>
      <c r="J69" s="156"/>
      <c r="K69" s="156"/>
      <c r="L69" s="155"/>
      <c r="M69" s="157"/>
      <c r="N69" s="158"/>
      <c r="O69" s="156"/>
      <c r="P69" s="156"/>
      <c r="Q69" s="289"/>
      <c r="R69" s="252"/>
      <c r="S69" s="115">
        <f t="shared" si="3"/>
        <v>0</v>
      </c>
      <c r="T69" s="161"/>
      <c r="U69" s="11"/>
      <c r="V69" s="1"/>
      <c r="W69" s="1"/>
      <c r="X69" s="1"/>
      <c r="Y69" s="1"/>
    </row>
    <row r="70" spans="1:25" s="110" customFormat="1" x14ac:dyDescent="0.35">
      <c r="A70" s="12"/>
      <c r="B70" s="318" t="str">
        <f>IF(T70="Kirjoita tähän mitä tehdään","Ulkoseinien pintaverhouksien purkaminen *Rakennusselostus puuttuu","Ulkoseinien pintaverhouksien purkaminen")</f>
        <v>Ulkoseinien pintaverhouksien purkaminen</v>
      </c>
      <c r="C70" s="325"/>
      <c r="D70" s="175"/>
      <c r="E70" s="176"/>
      <c r="F70" s="176"/>
      <c r="G70" s="176"/>
      <c r="H70" s="271">
        <f t="shared" si="4"/>
        <v>0</v>
      </c>
      <c r="I70" s="176"/>
      <c r="J70" s="176"/>
      <c r="K70" s="176"/>
      <c r="L70" s="271">
        <f t="shared" si="5"/>
        <v>0</v>
      </c>
      <c r="M70" s="147"/>
      <c r="N70" s="184"/>
      <c r="O70" s="176"/>
      <c r="P70" s="177">
        <f t="shared" si="6"/>
        <v>0</v>
      </c>
      <c r="Q70" s="280"/>
      <c r="R70" s="185"/>
      <c r="S70" s="115">
        <f t="shared" si="3"/>
        <v>0</v>
      </c>
      <c r="T70" s="146" t="str" cm="1">
        <f t="array" ref="T70">IF(S70:S70=0,"Ei toimenpiteitä","Kirjoita tähän mitä tehdään")</f>
        <v>Ei toimenpiteitä</v>
      </c>
      <c r="U70" s="11"/>
      <c r="V70" s="109"/>
      <c r="W70" s="109"/>
      <c r="X70" s="109"/>
      <c r="Y70" s="109"/>
    </row>
    <row r="71" spans="1:25" s="110" customFormat="1" x14ac:dyDescent="0.35">
      <c r="A71" s="12"/>
      <c r="B71" s="320" t="str">
        <f>IF(T71="Kirjoita tähän mitä tehdään","Ulkoseinien pintaverhouksien uusiminen *Rakennusselostus puuttuu","Ulkoseinien pintaverhouksien uusiminen")</f>
        <v>Ulkoseinien pintaverhouksien uusiminen</v>
      </c>
      <c r="C71" s="321"/>
      <c r="D71" s="175"/>
      <c r="E71" s="176"/>
      <c r="F71" s="176"/>
      <c r="G71" s="176"/>
      <c r="H71" s="271">
        <f t="shared" si="4"/>
        <v>0</v>
      </c>
      <c r="I71" s="176"/>
      <c r="J71" s="176"/>
      <c r="K71" s="176"/>
      <c r="L71" s="271">
        <f t="shared" si="5"/>
        <v>0</v>
      </c>
      <c r="M71" s="147"/>
      <c r="N71" s="184"/>
      <c r="O71" s="176"/>
      <c r="P71" s="177">
        <f t="shared" si="6"/>
        <v>0</v>
      </c>
      <c r="Q71" s="280"/>
      <c r="R71" s="185"/>
      <c r="S71" s="115">
        <f t="shared" si="3"/>
        <v>0</v>
      </c>
      <c r="T71" s="146" t="str" cm="1">
        <f t="array" ref="T71">IF(S71:S71=0,"Ei toimenpiteitä","Kirjoita tähän mitä tehdään")</f>
        <v>Ei toimenpiteitä</v>
      </c>
      <c r="U71" s="11"/>
      <c r="V71" s="109"/>
      <c r="W71" s="109"/>
      <c r="X71" s="109"/>
      <c r="Y71" s="109"/>
    </row>
    <row r="72" spans="1:25" s="110" customFormat="1" x14ac:dyDescent="0.35">
      <c r="A72" s="12"/>
      <c r="B72" s="320" t="str">
        <f>IF(T72="Kirjoita tähän mitä tehdään","Ulkoseinien pintakäsittely *Rakennusselostus puuttuu","Ulkoseinien pintakäsittely")</f>
        <v>Ulkoseinien pintakäsittely</v>
      </c>
      <c r="C72" s="321"/>
      <c r="D72" s="175"/>
      <c r="E72" s="176"/>
      <c r="F72" s="176"/>
      <c r="G72" s="176"/>
      <c r="H72" s="271">
        <f t="shared" si="4"/>
        <v>0</v>
      </c>
      <c r="I72" s="176"/>
      <c r="J72" s="176"/>
      <c r="K72" s="176"/>
      <c r="L72" s="271">
        <f t="shared" si="5"/>
        <v>0</v>
      </c>
      <c r="M72" s="147"/>
      <c r="N72" s="184"/>
      <c r="O72" s="176"/>
      <c r="P72" s="177">
        <f t="shared" si="6"/>
        <v>0</v>
      </c>
      <c r="Q72" s="280"/>
      <c r="R72" s="185"/>
      <c r="S72" s="115">
        <f t="shared" si="3"/>
        <v>0</v>
      </c>
      <c r="T72" s="146" t="str" cm="1">
        <f t="array" ref="T72">IF(S72:S72=0,"Ei toimenpiteitä","Kirjoita tähän mitä tehdään")</f>
        <v>Ei toimenpiteitä</v>
      </c>
      <c r="U72" s="11"/>
      <c r="V72" s="109"/>
      <c r="W72" s="109"/>
      <c r="X72" s="109"/>
      <c r="Y72" s="109"/>
    </row>
    <row r="73" spans="1:25" s="110" customFormat="1" x14ac:dyDescent="0.35">
      <c r="A73" s="12"/>
      <c r="B73" s="320" t="str">
        <f>IF(T73="Kirjoita tähän mitä tehdään","Ikkunoiden uusiminen *Rakennusselostus puuttuu","Ikkunoiden uusiminen")</f>
        <v>Ikkunoiden uusiminen</v>
      </c>
      <c r="C73" s="321"/>
      <c r="D73" s="175"/>
      <c r="E73" s="176"/>
      <c r="F73" s="176"/>
      <c r="G73" s="176"/>
      <c r="H73" s="271">
        <f t="shared" si="4"/>
        <v>0</v>
      </c>
      <c r="I73" s="176"/>
      <c r="J73" s="176"/>
      <c r="K73" s="176"/>
      <c r="L73" s="271">
        <f t="shared" si="5"/>
        <v>0</v>
      </c>
      <c r="M73" s="147"/>
      <c r="N73" s="184"/>
      <c r="O73" s="176"/>
      <c r="P73" s="177">
        <f t="shared" si="6"/>
        <v>0</v>
      </c>
      <c r="Q73" s="280"/>
      <c r="R73" s="185"/>
      <c r="S73" s="115">
        <f t="shared" si="3"/>
        <v>0</v>
      </c>
      <c r="T73" s="146" t="str" cm="1">
        <f t="array" ref="T73">IF(S73:S73=0,"Ei toimenpiteitä","Kirjoita tähän mitä tehdään")</f>
        <v>Ei toimenpiteitä</v>
      </c>
      <c r="U73" s="11"/>
      <c r="V73" s="109"/>
      <c r="W73" s="109"/>
      <c r="X73" s="109"/>
      <c r="Y73" s="109"/>
    </row>
    <row r="74" spans="1:25" s="110" customFormat="1" x14ac:dyDescent="0.35">
      <c r="A74" s="12"/>
      <c r="B74" s="320" t="str">
        <f>IF(T74="Kirjoita tähän mitä tehdään","Ikkunoiden kunnostaminen *Rakennusselostus puuttuu","Ikkunoiden kunnostaminen")</f>
        <v>Ikkunoiden kunnostaminen</v>
      </c>
      <c r="C74" s="321"/>
      <c r="D74" s="175"/>
      <c r="E74" s="176"/>
      <c r="F74" s="176"/>
      <c r="G74" s="176"/>
      <c r="H74" s="271">
        <f t="shared" si="4"/>
        <v>0</v>
      </c>
      <c r="I74" s="176"/>
      <c r="J74" s="176"/>
      <c r="K74" s="176"/>
      <c r="L74" s="271">
        <f t="shared" si="5"/>
        <v>0</v>
      </c>
      <c r="M74" s="147"/>
      <c r="N74" s="184"/>
      <c r="O74" s="176"/>
      <c r="P74" s="177">
        <f t="shared" si="6"/>
        <v>0</v>
      </c>
      <c r="Q74" s="280"/>
      <c r="R74" s="185"/>
      <c r="S74" s="115">
        <f t="shared" si="3"/>
        <v>0</v>
      </c>
      <c r="T74" s="146" t="str" cm="1">
        <f t="array" ref="T74">IF(S74:S74=0,"Ei toimenpiteitä","Kirjoita tähän mitä tehdään")</f>
        <v>Ei toimenpiteitä</v>
      </c>
      <c r="U74" s="11"/>
      <c r="V74" s="109"/>
      <c r="W74" s="109"/>
      <c r="X74" s="109"/>
      <c r="Y74" s="109"/>
    </row>
    <row r="75" spans="1:25" s="110" customFormat="1" x14ac:dyDescent="0.35">
      <c r="A75" s="12"/>
      <c r="B75" s="320" t="str">
        <f>IF(T75="Kirjoita tähän mitä tehdään","Ulko-ovien uusiminen *Rakennusselostus puuttuu","Ulko-ovien uusiminen")</f>
        <v>Ulko-ovien uusiminen</v>
      </c>
      <c r="C75" s="321"/>
      <c r="D75" s="175"/>
      <c r="E75" s="176"/>
      <c r="F75" s="176"/>
      <c r="G75" s="176"/>
      <c r="H75" s="271">
        <f t="shared" si="4"/>
        <v>0</v>
      </c>
      <c r="I75" s="176"/>
      <c r="J75" s="176"/>
      <c r="K75" s="176"/>
      <c r="L75" s="271">
        <f t="shared" si="5"/>
        <v>0</v>
      </c>
      <c r="M75" s="147"/>
      <c r="N75" s="184"/>
      <c r="O75" s="176"/>
      <c r="P75" s="177">
        <f t="shared" si="6"/>
        <v>0</v>
      </c>
      <c r="Q75" s="280"/>
      <c r="R75" s="185"/>
      <c r="S75" s="115">
        <f t="shared" si="3"/>
        <v>0</v>
      </c>
      <c r="T75" s="146" t="str" cm="1">
        <f t="array" ref="T75">IF(S75:S75=0,"Ei toimenpiteitä","Kirjoita tähän mitä tehdään")</f>
        <v>Ei toimenpiteitä</v>
      </c>
      <c r="U75" s="11"/>
      <c r="V75" s="109"/>
      <c r="W75" s="109"/>
      <c r="X75" s="109"/>
      <c r="Y75" s="109"/>
    </row>
    <row r="76" spans="1:25" s="110" customFormat="1" x14ac:dyDescent="0.35">
      <c r="A76" s="12"/>
      <c r="B76" s="320" t="str">
        <f>IF(T76="Kirjoita tähän mitä tehdään","Ulko-ovien kunnostaminen *Rakennusselostus puuttuu","Ulko-ovien kunnostaminen")</f>
        <v>Ulko-ovien kunnostaminen</v>
      </c>
      <c r="C76" s="321"/>
      <c r="D76" s="175"/>
      <c r="E76" s="176"/>
      <c r="F76" s="176"/>
      <c r="G76" s="176"/>
      <c r="H76" s="271">
        <f t="shared" si="4"/>
        <v>0</v>
      </c>
      <c r="I76" s="176"/>
      <c r="J76" s="176"/>
      <c r="K76" s="176"/>
      <c r="L76" s="271">
        <f t="shared" si="5"/>
        <v>0</v>
      </c>
      <c r="M76" s="147"/>
      <c r="N76" s="184"/>
      <c r="O76" s="176"/>
      <c r="P76" s="177">
        <f t="shared" si="6"/>
        <v>0</v>
      </c>
      <c r="Q76" s="280"/>
      <c r="R76" s="185"/>
      <c r="S76" s="115">
        <f t="shared" ref="S76:S139" si="8">L76+P76</f>
        <v>0</v>
      </c>
      <c r="T76" s="146" t="str" cm="1">
        <f t="array" ref="T76">IF(S76:S76=0,"Ei toimenpiteitä","Kirjoita tähän mitä tehdään")</f>
        <v>Ei toimenpiteitä</v>
      </c>
      <c r="U76" s="11"/>
      <c r="V76" s="109"/>
      <c r="W76" s="109"/>
      <c r="X76" s="109"/>
      <c r="Y76" s="109"/>
    </row>
    <row r="77" spans="1:25" s="110" customFormat="1" x14ac:dyDescent="0.35">
      <c r="A77" s="12"/>
      <c r="B77" s="188" t="str">
        <f>IF(T77="Kirjoita tähän mitä tehdään","Muu korjaus: *Rakennusselostus puuttuu","Muu korjaus:")</f>
        <v>Muu korjaus:</v>
      </c>
      <c r="C77" s="299"/>
      <c r="D77" s="175"/>
      <c r="E77" s="176"/>
      <c r="F77" s="176"/>
      <c r="G77" s="176"/>
      <c r="H77" s="271">
        <f t="shared" si="4"/>
        <v>0</v>
      </c>
      <c r="I77" s="176"/>
      <c r="J77" s="176"/>
      <c r="K77" s="176"/>
      <c r="L77" s="271">
        <f t="shared" si="5"/>
        <v>0</v>
      </c>
      <c r="M77" s="147"/>
      <c r="N77" s="184"/>
      <c r="O77" s="176"/>
      <c r="P77" s="177">
        <f t="shared" si="6"/>
        <v>0</v>
      </c>
      <c r="Q77" s="280"/>
      <c r="R77" s="185"/>
      <c r="S77" s="115">
        <f t="shared" si="8"/>
        <v>0</v>
      </c>
      <c r="T77" s="146" t="str" cm="1">
        <f t="array" ref="T77">IF(S77:S77=0,"Ei toimenpiteitä","Kirjoita tähän mitä tehdään")</f>
        <v>Ei toimenpiteitä</v>
      </c>
      <c r="U77" s="11"/>
      <c r="V77" s="109"/>
      <c r="W77" s="109"/>
      <c r="X77" s="109"/>
      <c r="Y77" s="109"/>
    </row>
    <row r="78" spans="1:25" x14ac:dyDescent="0.35">
      <c r="A78" s="10" t="s">
        <v>59</v>
      </c>
      <c r="B78" s="27"/>
      <c r="C78" s="9"/>
      <c r="D78" s="145"/>
      <c r="E78" s="156"/>
      <c r="F78" s="156"/>
      <c r="G78" s="156"/>
      <c r="H78" s="156"/>
      <c r="I78" s="156"/>
      <c r="J78" s="156"/>
      <c r="K78" s="156"/>
      <c r="L78" s="155"/>
      <c r="M78" s="157"/>
      <c r="N78" s="158"/>
      <c r="O78" s="156"/>
      <c r="P78" s="156"/>
      <c r="Q78" s="289"/>
      <c r="R78" s="252"/>
      <c r="S78" s="115">
        <f t="shared" si="8"/>
        <v>0</v>
      </c>
      <c r="T78" s="161"/>
      <c r="U78" s="11"/>
      <c r="V78" s="1"/>
      <c r="W78" s="1"/>
      <c r="X78" s="1"/>
      <c r="Y78" s="1"/>
    </row>
    <row r="79" spans="1:25" s="110" customFormat="1" x14ac:dyDescent="0.35">
      <c r="A79" s="12"/>
      <c r="B79" s="318" t="str">
        <f>IF(T79="Kirjoita tähän mitä tehdään","Parvekkeiden kunnostaminen *Rakennusselostus puuttuu","Parvekkeiden kunnostaminen")</f>
        <v>Parvekkeiden kunnostaminen</v>
      </c>
      <c r="C79" s="319"/>
      <c r="D79" s="175"/>
      <c r="E79" s="176"/>
      <c r="F79" s="176"/>
      <c r="G79" s="176"/>
      <c r="H79" s="271">
        <f t="shared" si="4"/>
        <v>0</v>
      </c>
      <c r="I79" s="176"/>
      <c r="J79" s="176"/>
      <c r="K79" s="176"/>
      <c r="L79" s="271">
        <f t="shared" si="5"/>
        <v>0</v>
      </c>
      <c r="M79" s="147"/>
      <c r="N79" s="184"/>
      <c r="O79" s="176"/>
      <c r="P79" s="177">
        <f t="shared" si="6"/>
        <v>0</v>
      </c>
      <c r="Q79" s="280"/>
      <c r="R79" s="185"/>
      <c r="S79" s="115">
        <f t="shared" si="8"/>
        <v>0</v>
      </c>
      <c r="T79" s="146" t="str" cm="1">
        <f t="array" ref="T79">IF(S79:S79=0,"Ei toimenpiteitä","Kirjoita tähän mitä tehdään")</f>
        <v>Ei toimenpiteitä</v>
      </c>
      <c r="U79" s="11"/>
      <c r="V79" s="109"/>
      <c r="W79" s="109"/>
      <c r="X79" s="109"/>
      <c r="Y79" s="109"/>
    </row>
    <row r="80" spans="1:25" s="110" customFormat="1" x14ac:dyDescent="0.35">
      <c r="A80" s="12"/>
      <c r="B80" s="320" t="str">
        <f>IF(T80="Kirjoita tähän mitä tehdään","Terassien kunnostaminen *Rakennusselostus puuttuu","Terassien kunnostaminen")</f>
        <v>Terassien kunnostaminen</v>
      </c>
      <c r="C80" s="321"/>
      <c r="D80" s="175"/>
      <c r="E80" s="176"/>
      <c r="F80" s="176"/>
      <c r="G80" s="176"/>
      <c r="H80" s="271">
        <f t="shared" si="4"/>
        <v>0</v>
      </c>
      <c r="I80" s="176"/>
      <c r="J80" s="176"/>
      <c r="K80" s="176"/>
      <c r="L80" s="271">
        <f t="shared" si="5"/>
        <v>0</v>
      </c>
      <c r="M80" s="147"/>
      <c r="N80" s="184"/>
      <c r="O80" s="176"/>
      <c r="P80" s="177">
        <f t="shared" si="6"/>
        <v>0</v>
      </c>
      <c r="Q80" s="280"/>
      <c r="R80" s="185"/>
      <c r="S80" s="115">
        <f t="shared" si="8"/>
        <v>0</v>
      </c>
      <c r="T80" s="146" t="str" cm="1">
        <f t="array" ref="T80">IF(S80:S80=0,"Ei toimenpiteitä","Kirjoita tähän mitä tehdään")</f>
        <v>Ei toimenpiteitä</v>
      </c>
      <c r="U80" s="11"/>
      <c r="V80" s="109"/>
      <c r="W80" s="109"/>
      <c r="X80" s="109"/>
      <c r="Y80" s="109"/>
    </row>
    <row r="81" spans="1:25" s="110" customFormat="1" x14ac:dyDescent="0.35">
      <c r="A81" s="12"/>
      <c r="B81" s="320" t="str">
        <f>IF(T81="Kirjoita tähän mitä tehdään","Lasitukset *Rakennusselostus puuttuu","Lasitukset")</f>
        <v>Lasitukset</v>
      </c>
      <c r="C81" s="322"/>
      <c r="D81" s="175"/>
      <c r="E81" s="176"/>
      <c r="F81" s="176"/>
      <c r="G81" s="176"/>
      <c r="H81" s="271">
        <f t="shared" si="4"/>
        <v>0</v>
      </c>
      <c r="I81" s="176"/>
      <c r="J81" s="176"/>
      <c r="K81" s="176"/>
      <c r="L81" s="271">
        <f t="shared" si="5"/>
        <v>0</v>
      </c>
      <c r="M81" s="147"/>
      <c r="N81" s="184"/>
      <c r="O81" s="176"/>
      <c r="P81" s="177">
        <f t="shared" si="6"/>
        <v>0</v>
      </c>
      <c r="Q81" s="280"/>
      <c r="R81" s="185"/>
      <c r="S81" s="115">
        <f t="shared" si="8"/>
        <v>0</v>
      </c>
      <c r="T81" s="146" t="str" cm="1">
        <f t="array" ref="T81">IF(S81:S81=0,"Ei toimenpiteitä","Kirjoita tähän mitä tehdään")</f>
        <v>Ei toimenpiteitä</v>
      </c>
      <c r="U81" s="11"/>
      <c r="V81" s="109"/>
      <c r="W81" s="109"/>
      <c r="X81" s="109"/>
      <c r="Y81" s="109"/>
    </row>
    <row r="82" spans="1:25" s="110" customFormat="1" x14ac:dyDescent="0.35">
      <c r="A82" s="12"/>
      <c r="B82" s="188" t="str">
        <f>IF(T82="Kirjoita tähän mitä tehdään","Muu korjaus: *Rakennusselostus puuttuu","Muu korjaus:")</f>
        <v>Muu korjaus:</v>
      </c>
      <c r="C82" s="299"/>
      <c r="D82" s="175"/>
      <c r="E82" s="176"/>
      <c r="F82" s="176"/>
      <c r="G82" s="176"/>
      <c r="H82" s="271">
        <f t="shared" si="4"/>
        <v>0</v>
      </c>
      <c r="I82" s="176"/>
      <c r="J82" s="176"/>
      <c r="K82" s="176"/>
      <c r="L82" s="271">
        <f t="shared" si="5"/>
        <v>0</v>
      </c>
      <c r="M82" s="147"/>
      <c r="N82" s="184"/>
      <c r="O82" s="176"/>
      <c r="P82" s="177">
        <f t="shared" si="6"/>
        <v>0</v>
      </c>
      <c r="Q82" s="280"/>
      <c r="R82" s="185"/>
      <c r="S82" s="115">
        <f t="shared" si="8"/>
        <v>0</v>
      </c>
      <c r="T82" s="146" t="str" cm="1">
        <f t="array" ref="T82">IF(S82:S82=0,"Ei toimenpiteitä","Kirjoita tähän mitä tehdään")</f>
        <v>Ei toimenpiteitä</v>
      </c>
      <c r="U82" s="11"/>
      <c r="V82" s="109"/>
      <c r="W82" s="109"/>
      <c r="X82" s="109"/>
      <c r="Y82" s="109"/>
    </row>
    <row r="83" spans="1:25" x14ac:dyDescent="0.35">
      <c r="A83" s="10" t="s">
        <v>60</v>
      </c>
      <c r="B83" s="27"/>
      <c r="C83" s="9"/>
      <c r="D83" s="145"/>
      <c r="E83" s="156"/>
      <c r="F83" s="156"/>
      <c r="G83" s="156"/>
      <c r="H83" s="156"/>
      <c r="I83" s="156"/>
      <c r="J83" s="156"/>
      <c r="K83" s="156"/>
      <c r="L83" s="155"/>
      <c r="M83" s="157"/>
      <c r="N83" s="158"/>
      <c r="O83" s="156"/>
      <c r="P83" s="156"/>
      <c r="Q83" s="289"/>
      <c r="R83" s="252"/>
      <c r="S83" s="115">
        <f t="shared" si="8"/>
        <v>0</v>
      </c>
      <c r="T83" s="161"/>
      <c r="U83" s="11"/>
      <c r="V83" s="1"/>
      <c r="W83" s="1"/>
      <c r="X83" s="1"/>
      <c r="Y83" s="1"/>
    </row>
    <row r="84" spans="1:25" s="110" customFormat="1" x14ac:dyDescent="0.35">
      <c r="A84" s="12"/>
      <c r="B84" s="318" t="str">
        <f>IF(T84="Kirjoita tähän mitä tehdään","Vesikatteen purkaminen *Rakennusselostus puuttuu","Vesikatteen purkaminen")</f>
        <v>Vesikatteen purkaminen</v>
      </c>
      <c r="C84" s="325"/>
      <c r="D84" s="175"/>
      <c r="E84" s="176"/>
      <c r="F84" s="176"/>
      <c r="G84" s="176"/>
      <c r="H84" s="271">
        <f t="shared" si="4"/>
        <v>0</v>
      </c>
      <c r="I84" s="176"/>
      <c r="J84" s="176"/>
      <c r="K84" s="176"/>
      <c r="L84" s="271">
        <f t="shared" si="5"/>
        <v>0</v>
      </c>
      <c r="M84" s="147"/>
      <c r="N84" s="184"/>
      <c r="O84" s="176"/>
      <c r="P84" s="177">
        <f t="shared" si="6"/>
        <v>0</v>
      </c>
      <c r="Q84" s="280"/>
      <c r="R84" s="185"/>
      <c r="S84" s="115">
        <f t="shared" si="8"/>
        <v>0</v>
      </c>
      <c r="T84" s="146" t="str" cm="1">
        <f t="array" ref="T84">IF(S84:S84=0,"Ei toimenpiteitä","Kirjoita tähän mitä tehdään")</f>
        <v>Ei toimenpiteitä</v>
      </c>
      <c r="U84" s="11"/>
      <c r="V84" s="109"/>
      <c r="W84" s="109"/>
      <c r="X84" s="109"/>
      <c r="Y84" s="109"/>
    </row>
    <row r="85" spans="1:25" s="110" customFormat="1" ht="30" customHeight="1" x14ac:dyDescent="0.35">
      <c r="A85" s="12"/>
      <c r="B85" s="326" t="str">
        <f>IF(T85="Kirjoita tähän mitä tehdään","Vesikatteen alusrakenteen uusiminen / kunnostaminen *Rakennusselostus puuttuu","Vesikatteen alusrakenteen uusiminen / kunnostaminen")</f>
        <v>Vesikatteen alusrakenteen uusiminen / kunnostaminen</v>
      </c>
      <c r="C85" s="327"/>
      <c r="D85" s="175"/>
      <c r="E85" s="176"/>
      <c r="F85" s="176"/>
      <c r="G85" s="176"/>
      <c r="H85" s="271">
        <f t="shared" si="4"/>
        <v>0</v>
      </c>
      <c r="I85" s="176"/>
      <c r="J85" s="176"/>
      <c r="K85" s="176"/>
      <c r="L85" s="271">
        <f t="shared" si="5"/>
        <v>0</v>
      </c>
      <c r="M85" s="147"/>
      <c r="N85" s="184"/>
      <c r="O85" s="176"/>
      <c r="P85" s="177">
        <f t="shared" si="6"/>
        <v>0</v>
      </c>
      <c r="Q85" s="280"/>
      <c r="R85" s="185"/>
      <c r="S85" s="115">
        <f t="shared" si="8"/>
        <v>0</v>
      </c>
      <c r="T85" s="146" t="str" cm="1">
        <f t="array" ref="T85">IF(S85:S85=0,"Ei toimenpiteitä","Kirjoita tähän mitä tehdään")</f>
        <v>Ei toimenpiteitä</v>
      </c>
      <c r="U85" s="11"/>
      <c r="V85" s="109"/>
      <c r="W85" s="109"/>
      <c r="X85" s="109"/>
      <c r="Y85" s="109"/>
    </row>
    <row r="86" spans="1:25" s="110" customFormat="1" x14ac:dyDescent="0.35">
      <c r="A86" s="12"/>
      <c r="B86" s="320" t="str">
        <f>IF(T86="Kirjoita tähän mitä tehdään","Vesikaton lämmöneristyksen purku ja  uusiminen *Rakennusselostus puuttuu","Vesikaton lämmöneristyksen purku ja  uusiminen")</f>
        <v>Vesikaton lämmöneristyksen purku ja  uusiminen</v>
      </c>
      <c r="C86" s="321"/>
      <c r="D86" s="175"/>
      <c r="E86" s="176"/>
      <c r="F86" s="176"/>
      <c r="G86" s="176"/>
      <c r="H86" s="271">
        <f t="shared" si="4"/>
        <v>0</v>
      </c>
      <c r="I86" s="176"/>
      <c r="J86" s="176"/>
      <c r="K86" s="176"/>
      <c r="L86" s="271">
        <f t="shared" si="5"/>
        <v>0</v>
      </c>
      <c r="M86" s="147"/>
      <c r="N86" s="184"/>
      <c r="O86" s="176"/>
      <c r="P86" s="177">
        <f t="shared" si="6"/>
        <v>0</v>
      </c>
      <c r="Q86" s="280"/>
      <c r="R86" s="185"/>
      <c r="S86" s="115">
        <f t="shared" si="8"/>
        <v>0</v>
      </c>
      <c r="T86" s="146" t="str" cm="1">
        <f t="array" ref="T86">IF(S86:S86=0,"Ei toimenpiteitä","Kirjoita tähän mitä tehdään")</f>
        <v>Ei toimenpiteitä</v>
      </c>
      <c r="U86" s="11"/>
      <c r="V86" s="109"/>
      <c r="W86" s="109"/>
      <c r="X86" s="109"/>
      <c r="Y86" s="109"/>
    </row>
    <row r="87" spans="1:25" s="110" customFormat="1" x14ac:dyDescent="0.35">
      <c r="A87" s="12"/>
      <c r="B87" s="320" t="str">
        <f>IF(T87="Kirjoita tähän mitä tehdään","Uuden vesikatteen asentaminen *Rakennusselostus puuttuu","Uuden vesikatteen asentaminen")</f>
        <v>Uuden vesikatteen asentaminen</v>
      </c>
      <c r="C87" s="321"/>
      <c r="D87" s="175"/>
      <c r="E87" s="176"/>
      <c r="F87" s="176"/>
      <c r="G87" s="176"/>
      <c r="H87" s="271">
        <f t="shared" si="4"/>
        <v>0</v>
      </c>
      <c r="I87" s="176"/>
      <c r="J87" s="176"/>
      <c r="K87" s="176"/>
      <c r="L87" s="271">
        <f t="shared" si="5"/>
        <v>0</v>
      </c>
      <c r="M87" s="147"/>
      <c r="N87" s="184"/>
      <c r="O87" s="176"/>
      <c r="P87" s="177">
        <f t="shared" si="6"/>
        <v>0</v>
      </c>
      <c r="Q87" s="280"/>
      <c r="R87" s="185"/>
      <c r="S87" s="115">
        <f t="shared" si="8"/>
        <v>0</v>
      </c>
      <c r="T87" s="146" t="str" cm="1">
        <f t="array" ref="T87">IF(S87:S87=0,"Ei toimenpiteitä","Kirjoita tähän mitä tehdään")</f>
        <v>Ei toimenpiteitä</v>
      </c>
      <c r="U87" s="11"/>
      <c r="V87" s="109"/>
      <c r="W87" s="109"/>
      <c r="X87" s="109"/>
      <c r="Y87" s="109"/>
    </row>
    <row r="88" spans="1:25" s="110" customFormat="1" x14ac:dyDescent="0.35">
      <c r="A88" s="12"/>
      <c r="B88" s="320" t="str">
        <f>IF(T88="Kirjoita tähän mitä tehdään","Kattoikkuna tai -luukku *Rakennusselostus puuttuu","Kattoikkuna tai -luukku")</f>
        <v>Kattoikkuna tai -luukku</v>
      </c>
      <c r="C88" s="321"/>
      <c r="D88" s="175"/>
      <c r="E88" s="176"/>
      <c r="F88" s="176"/>
      <c r="G88" s="176"/>
      <c r="H88" s="271">
        <f t="shared" si="4"/>
        <v>0</v>
      </c>
      <c r="I88" s="176"/>
      <c r="J88" s="176"/>
      <c r="K88" s="176"/>
      <c r="L88" s="271">
        <f t="shared" si="5"/>
        <v>0</v>
      </c>
      <c r="M88" s="147"/>
      <c r="N88" s="184"/>
      <c r="O88" s="176"/>
      <c r="P88" s="177">
        <f t="shared" si="6"/>
        <v>0</v>
      </c>
      <c r="Q88" s="280"/>
      <c r="R88" s="185"/>
      <c r="S88" s="115">
        <f t="shared" si="8"/>
        <v>0</v>
      </c>
      <c r="T88" s="146" t="str" cm="1">
        <f t="array" ref="T88">IF(S88:S88=0,"Ei toimenpiteitä","Kirjoita tähän mitä tehdään")</f>
        <v>Ei toimenpiteitä</v>
      </c>
      <c r="U88" s="11"/>
      <c r="V88" s="109"/>
      <c r="W88" s="109"/>
      <c r="X88" s="109"/>
      <c r="Y88" s="109"/>
    </row>
    <row r="89" spans="1:25" s="110" customFormat="1" x14ac:dyDescent="0.35">
      <c r="A89" s="12"/>
      <c r="B89" s="320" t="str">
        <f>IF(T89="Kirjoita tähän mitä tehdään","Valokatteen asentaminen *Rakennusselostus puuttuu","Valokatteen asentaminen")</f>
        <v>Valokatteen asentaminen</v>
      </c>
      <c r="C89" s="321"/>
      <c r="D89" s="175"/>
      <c r="E89" s="176"/>
      <c r="F89" s="176"/>
      <c r="G89" s="176"/>
      <c r="H89" s="271">
        <f t="shared" si="4"/>
        <v>0</v>
      </c>
      <c r="I89" s="176"/>
      <c r="J89" s="176"/>
      <c r="K89" s="176"/>
      <c r="L89" s="271">
        <f t="shared" si="5"/>
        <v>0</v>
      </c>
      <c r="M89" s="147"/>
      <c r="N89" s="184"/>
      <c r="O89" s="176"/>
      <c r="P89" s="177">
        <f t="shared" si="6"/>
        <v>0</v>
      </c>
      <c r="Q89" s="280"/>
      <c r="R89" s="185"/>
      <c r="S89" s="115">
        <f t="shared" si="8"/>
        <v>0</v>
      </c>
      <c r="T89" s="146" t="str" cm="1">
        <f t="array" ref="T89">IF(S89:S89=0,"Ei toimenpiteitä","Kirjoita tähän mitä tehdään")</f>
        <v>Ei toimenpiteitä</v>
      </c>
      <c r="U89" s="11"/>
      <c r="V89" s="109"/>
      <c r="W89" s="109"/>
      <c r="X89" s="109"/>
      <c r="Y89" s="109"/>
    </row>
    <row r="90" spans="1:25" s="110" customFormat="1" x14ac:dyDescent="0.35">
      <c r="A90" s="12"/>
      <c r="B90" s="320" t="str">
        <f>IF(T90="Kirjoita tähän mitä tehdään","Vesikatteen paikkakorjaukset *Rakennusselostus puuttuu","Vesikatteen paikkakorjaukset")</f>
        <v>Vesikatteen paikkakorjaukset</v>
      </c>
      <c r="C90" s="321"/>
      <c r="D90" s="175"/>
      <c r="E90" s="176"/>
      <c r="F90" s="176"/>
      <c r="G90" s="176"/>
      <c r="H90" s="271">
        <f t="shared" si="4"/>
        <v>0</v>
      </c>
      <c r="I90" s="176"/>
      <c r="J90" s="176"/>
      <c r="K90" s="176"/>
      <c r="L90" s="271">
        <f t="shared" si="5"/>
        <v>0</v>
      </c>
      <c r="M90" s="147"/>
      <c r="N90" s="184"/>
      <c r="O90" s="176"/>
      <c r="P90" s="177">
        <f t="shared" si="6"/>
        <v>0</v>
      </c>
      <c r="Q90" s="280"/>
      <c r="R90" s="185"/>
      <c r="S90" s="115">
        <f t="shared" si="8"/>
        <v>0</v>
      </c>
      <c r="T90" s="146" t="str" cm="1">
        <f t="array" ref="T90">IF(S90:S90=0,"Ei toimenpiteitä","Kirjoita tähän mitä tehdään")</f>
        <v>Ei toimenpiteitä</v>
      </c>
      <c r="U90" s="11"/>
      <c r="V90" s="109"/>
      <c r="W90" s="109"/>
      <c r="X90" s="109"/>
      <c r="Y90" s="109"/>
    </row>
    <row r="91" spans="1:25" s="110" customFormat="1" x14ac:dyDescent="0.35">
      <c r="A91" s="12"/>
      <c r="B91" s="320" t="str">
        <f>IF(T91="Kirjoita tähän mitä tehdään","Räystäsrakenteiden purkaminen *Rakennusselostus puuttuu","Räystäsrakenteiden purkaminen")</f>
        <v>Räystäsrakenteiden purkaminen</v>
      </c>
      <c r="C91" s="321"/>
      <c r="D91" s="175"/>
      <c r="E91" s="176"/>
      <c r="F91" s="176"/>
      <c r="G91" s="176"/>
      <c r="H91" s="271">
        <f t="shared" si="4"/>
        <v>0</v>
      </c>
      <c r="I91" s="176"/>
      <c r="J91" s="176"/>
      <c r="K91" s="176"/>
      <c r="L91" s="271">
        <f t="shared" si="5"/>
        <v>0</v>
      </c>
      <c r="M91" s="147"/>
      <c r="N91" s="184"/>
      <c r="O91" s="176"/>
      <c r="P91" s="177">
        <f t="shared" si="6"/>
        <v>0</v>
      </c>
      <c r="Q91" s="280"/>
      <c r="R91" s="185"/>
      <c r="S91" s="115">
        <f t="shared" si="8"/>
        <v>0</v>
      </c>
      <c r="T91" s="146" t="str" cm="1">
        <f t="array" ref="T91">IF(S91:S91=0,"Ei toimenpiteitä","Kirjoita tähän mitä tehdään")</f>
        <v>Ei toimenpiteitä</v>
      </c>
      <c r="U91" s="11"/>
      <c r="V91" s="109"/>
      <c r="W91" s="109"/>
      <c r="X91" s="109"/>
      <c r="Y91" s="109"/>
    </row>
    <row r="92" spans="1:25" s="110" customFormat="1" x14ac:dyDescent="0.35">
      <c r="A92" s="12"/>
      <c r="B92" s="320" t="str">
        <f>IF(T92="Kirjoita tähän mitä tehdään","Räystäsrakenteiden korjaaminen *Rakennusselostus puuttuu","Räystäsrakenteiden korjaaminen")</f>
        <v>Räystäsrakenteiden korjaaminen</v>
      </c>
      <c r="C92" s="321"/>
      <c r="D92" s="175"/>
      <c r="E92" s="176"/>
      <c r="F92" s="176"/>
      <c r="G92" s="176"/>
      <c r="H92" s="271">
        <f t="shared" si="4"/>
        <v>0</v>
      </c>
      <c r="I92" s="176"/>
      <c r="J92" s="176"/>
      <c r="K92" s="176"/>
      <c r="L92" s="271">
        <f t="shared" si="5"/>
        <v>0</v>
      </c>
      <c r="M92" s="147"/>
      <c r="N92" s="184"/>
      <c r="O92" s="176"/>
      <c r="P92" s="177">
        <f t="shared" si="6"/>
        <v>0</v>
      </c>
      <c r="Q92" s="280"/>
      <c r="R92" s="185"/>
      <c r="S92" s="115">
        <f t="shared" si="8"/>
        <v>0</v>
      </c>
      <c r="T92" s="146" t="str" cm="1">
        <f t="array" ref="T92">IF(S92:S92=0,"Ei toimenpiteitä","Kirjoita tähän mitä tehdään")</f>
        <v>Ei toimenpiteitä</v>
      </c>
      <c r="U92" s="11"/>
      <c r="V92" s="109"/>
      <c r="W92" s="109"/>
      <c r="X92" s="109"/>
      <c r="Y92" s="109"/>
    </row>
    <row r="93" spans="1:25" s="110" customFormat="1" x14ac:dyDescent="0.35">
      <c r="A93" s="12"/>
      <c r="B93" s="320" t="str">
        <f>IF(T93="Kirjoita tähän mitä tehdään","Sadevesikourujen ja alastulojen uusiminen *Rakennusselostus puuttuu","Sadevesikourujen ja alastulojen uusiminen")</f>
        <v>Sadevesikourujen ja alastulojen uusiminen</v>
      </c>
      <c r="C93" s="321"/>
      <c r="D93" s="175"/>
      <c r="E93" s="176"/>
      <c r="F93" s="176"/>
      <c r="G93" s="176"/>
      <c r="H93" s="271">
        <f t="shared" si="4"/>
        <v>0</v>
      </c>
      <c r="I93" s="176"/>
      <c r="J93" s="176"/>
      <c r="K93" s="176"/>
      <c r="L93" s="271">
        <f t="shared" si="5"/>
        <v>0</v>
      </c>
      <c r="M93" s="147"/>
      <c r="N93" s="184"/>
      <c r="O93" s="176"/>
      <c r="P93" s="177">
        <f t="shared" si="6"/>
        <v>0</v>
      </c>
      <c r="Q93" s="280"/>
      <c r="R93" s="185"/>
      <c r="S93" s="115">
        <f t="shared" si="8"/>
        <v>0</v>
      </c>
      <c r="T93" s="146" t="str" cm="1">
        <f t="array" ref="T93">IF(S93:S93=0,"Ei toimenpiteitä","Kirjoita tähän mitä tehdään")</f>
        <v>Ei toimenpiteitä</v>
      </c>
      <c r="U93" s="11"/>
      <c r="V93" s="109"/>
      <c r="W93" s="109"/>
      <c r="X93" s="109"/>
      <c r="Y93" s="109"/>
    </row>
    <row r="94" spans="1:25" s="110" customFormat="1" x14ac:dyDescent="0.35">
      <c r="A94" s="12"/>
      <c r="B94" s="320" t="str">
        <f>IF(T94="Kirjoita tähän mitä tehdään","Kattoturvatuotteet *Rakennusselostus puuttuu","Kattoturvatuotteet")</f>
        <v>Kattoturvatuotteet</v>
      </c>
      <c r="C94" s="321"/>
      <c r="D94" s="175"/>
      <c r="E94" s="176"/>
      <c r="F94" s="176"/>
      <c r="G94" s="176"/>
      <c r="H94" s="271">
        <f t="shared" si="4"/>
        <v>0</v>
      </c>
      <c r="I94" s="176"/>
      <c r="J94" s="176"/>
      <c r="K94" s="176"/>
      <c r="L94" s="271">
        <f t="shared" si="5"/>
        <v>0</v>
      </c>
      <c r="M94" s="147"/>
      <c r="N94" s="184"/>
      <c r="O94" s="176"/>
      <c r="P94" s="177">
        <f t="shared" si="6"/>
        <v>0</v>
      </c>
      <c r="Q94" s="280"/>
      <c r="R94" s="185"/>
      <c r="S94" s="115">
        <f t="shared" si="8"/>
        <v>0</v>
      </c>
      <c r="T94" s="146" t="str" cm="1">
        <f t="array" ref="T94">IF(S94:S94=0,"Ei toimenpiteitä","Kirjoita tähän mitä tehdään")</f>
        <v>Ei toimenpiteitä</v>
      </c>
      <c r="U94" s="11"/>
      <c r="V94" s="109"/>
      <c r="W94" s="109"/>
      <c r="X94" s="109"/>
      <c r="Y94" s="109"/>
    </row>
    <row r="95" spans="1:25" s="110" customFormat="1" x14ac:dyDescent="0.35">
      <c r="A95" s="12"/>
      <c r="B95" s="320" t="str">
        <f>IF(T95="Kirjoita tähän mitä tehdään","Vesipeltien asentaminen *Rakennusselostus puuttuu","Vesipeltien asentaminen")</f>
        <v>Vesipeltien asentaminen</v>
      </c>
      <c r="C95" s="321"/>
      <c r="D95" s="175"/>
      <c r="E95" s="176"/>
      <c r="F95" s="176"/>
      <c r="G95" s="176"/>
      <c r="H95" s="271">
        <f t="shared" si="4"/>
        <v>0</v>
      </c>
      <c r="I95" s="176"/>
      <c r="J95" s="176"/>
      <c r="K95" s="176"/>
      <c r="L95" s="271">
        <f t="shared" si="5"/>
        <v>0</v>
      </c>
      <c r="M95" s="147"/>
      <c r="N95" s="184"/>
      <c r="O95" s="176"/>
      <c r="P95" s="177">
        <f t="shared" si="6"/>
        <v>0</v>
      </c>
      <c r="Q95" s="280"/>
      <c r="R95" s="185"/>
      <c r="S95" s="115">
        <f t="shared" si="8"/>
        <v>0</v>
      </c>
      <c r="T95" s="146" t="str" cm="1">
        <f t="array" ref="T95">IF(S95:S95=0,"Ei toimenpiteitä","Kirjoita tähän mitä tehdään")</f>
        <v>Ei toimenpiteitä</v>
      </c>
      <c r="U95" s="11"/>
      <c r="V95" s="109"/>
      <c r="W95" s="109"/>
      <c r="X95" s="109"/>
      <c r="Y95" s="109"/>
    </row>
    <row r="96" spans="1:25" s="110" customFormat="1" x14ac:dyDescent="0.35">
      <c r="A96" s="12"/>
      <c r="B96" s="188" t="str">
        <f>IF(T96="Kirjoita tähän mitä tehdään","Muu korjaus: *Rakennusselostus puuttuu","Muu korjaus:")</f>
        <v>Muu korjaus:</v>
      </c>
      <c r="C96" s="299"/>
      <c r="D96" s="175"/>
      <c r="E96" s="176"/>
      <c r="F96" s="176"/>
      <c r="G96" s="176"/>
      <c r="H96" s="271">
        <f t="shared" si="4"/>
        <v>0</v>
      </c>
      <c r="I96" s="176"/>
      <c r="J96" s="176"/>
      <c r="K96" s="176"/>
      <c r="L96" s="271">
        <f t="shared" si="5"/>
        <v>0</v>
      </c>
      <c r="M96" s="147"/>
      <c r="N96" s="184"/>
      <c r="O96" s="176"/>
      <c r="P96" s="177">
        <f t="shared" si="6"/>
        <v>0</v>
      </c>
      <c r="Q96" s="280"/>
      <c r="R96" s="185"/>
      <c r="S96" s="115">
        <f t="shared" si="8"/>
        <v>0</v>
      </c>
      <c r="T96" s="146" t="str" cm="1">
        <f t="array" ref="T96">IF(S96:S96=0,"Ei toimenpiteitä","Kirjoita tähän mitä tehdään")</f>
        <v>Ei toimenpiteitä</v>
      </c>
      <c r="U96" s="11"/>
      <c r="V96" s="109"/>
      <c r="W96" s="109"/>
      <c r="X96" s="109"/>
      <c r="Y96" s="109"/>
    </row>
    <row r="97" spans="1:25" x14ac:dyDescent="0.35">
      <c r="A97" s="10" t="s">
        <v>68</v>
      </c>
      <c r="B97" s="27"/>
      <c r="C97" s="9"/>
      <c r="D97" s="145"/>
      <c r="E97" s="156"/>
      <c r="F97" s="156"/>
      <c r="G97" s="156"/>
      <c r="H97" s="156"/>
      <c r="I97" s="156"/>
      <c r="J97" s="156"/>
      <c r="K97" s="156"/>
      <c r="L97" s="155"/>
      <c r="M97" s="157"/>
      <c r="N97" s="158"/>
      <c r="O97" s="156"/>
      <c r="P97" s="156"/>
      <c r="Q97" s="289"/>
      <c r="R97" s="252"/>
      <c r="S97" s="115">
        <f t="shared" si="8"/>
        <v>0</v>
      </c>
      <c r="T97" s="161"/>
      <c r="U97" s="11"/>
      <c r="V97" s="1"/>
      <c r="W97" s="1"/>
      <c r="X97" s="1"/>
      <c r="Y97" s="1"/>
    </row>
    <row r="98" spans="1:25" s="110" customFormat="1" x14ac:dyDescent="0.35">
      <c r="A98" s="12"/>
      <c r="B98" s="318" t="str">
        <f>IF(T98="Kirjoita tähän mitä tehdään","Väliseinien purkaminen *Rakennusselostus puuttuu","Väliseinien purkaminen")</f>
        <v>Väliseinien purkaminen</v>
      </c>
      <c r="C98" s="319"/>
      <c r="D98" s="175"/>
      <c r="E98" s="176"/>
      <c r="F98" s="176"/>
      <c r="G98" s="176"/>
      <c r="H98" s="271">
        <f t="shared" si="4"/>
        <v>0</v>
      </c>
      <c r="I98" s="176"/>
      <c r="J98" s="176"/>
      <c r="K98" s="176"/>
      <c r="L98" s="271">
        <f t="shared" si="5"/>
        <v>0</v>
      </c>
      <c r="M98" s="147"/>
      <c r="N98" s="184"/>
      <c r="O98" s="176"/>
      <c r="P98" s="177">
        <f t="shared" si="6"/>
        <v>0</v>
      </c>
      <c r="Q98" s="280"/>
      <c r="R98" s="185"/>
      <c r="S98" s="115">
        <f t="shared" si="8"/>
        <v>0</v>
      </c>
      <c r="T98" s="146" t="str" cm="1">
        <f t="array" ref="T98">IF(S98:S98=0,"Ei toimenpiteitä","Kirjoita tähän mitä tehdään")</f>
        <v>Ei toimenpiteitä</v>
      </c>
      <c r="U98" s="11"/>
      <c r="V98" s="109"/>
      <c r="W98" s="109"/>
      <c r="X98" s="109"/>
      <c r="Y98" s="109"/>
    </row>
    <row r="99" spans="1:25" s="110" customFormat="1" x14ac:dyDescent="0.35">
      <c r="A99" s="12"/>
      <c r="B99" s="320" t="str">
        <f>IF(T99="Kirjoita tähän mitä tehdään","Uuden väliseinän rakentaminen *Rakennusselostus puuttuu","Uuden väliseinän rakentaminen")</f>
        <v>Uuden väliseinän rakentaminen</v>
      </c>
      <c r="C99" s="321"/>
      <c r="D99" s="175"/>
      <c r="E99" s="176"/>
      <c r="F99" s="176"/>
      <c r="G99" s="176"/>
      <c r="H99" s="271">
        <f t="shared" si="4"/>
        <v>0</v>
      </c>
      <c r="I99" s="176"/>
      <c r="J99" s="176"/>
      <c r="K99" s="176"/>
      <c r="L99" s="271">
        <f t="shared" si="5"/>
        <v>0</v>
      </c>
      <c r="M99" s="147"/>
      <c r="N99" s="184"/>
      <c r="O99" s="176"/>
      <c r="P99" s="177">
        <f t="shared" si="6"/>
        <v>0</v>
      </c>
      <c r="Q99" s="280"/>
      <c r="R99" s="185"/>
      <c r="S99" s="115">
        <f t="shared" si="8"/>
        <v>0</v>
      </c>
      <c r="T99" s="146" t="str" cm="1">
        <f t="array" ref="T99">IF(S99:S99=0,"Ei toimenpiteitä","Kirjoita tähän mitä tehdään")</f>
        <v>Ei toimenpiteitä</v>
      </c>
      <c r="U99" s="11"/>
      <c r="V99" s="109"/>
      <c r="W99" s="109"/>
      <c r="X99" s="109"/>
      <c r="Y99" s="109"/>
    </row>
    <row r="100" spans="1:25" s="110" customFormat="1" x14ac:dyDescent="0.35">
      <c r="A100" s="12"/>
      <c r="B100" s="320" t="str">
        <f>IF(T100="Kirjoita tähän mitä tehdään","Väliovien korjaus ja kunnostaminen *Rakennusselostus puuttuu","Väliovien korjaus ja kunnostaminen")</f>
        <v>Väliovien korjaus ja kunnostaminen</v>
      </c>
      <c r="C100" s="321"/>
      <c r="D100" s="175"/>
      <c r="E100" s="176"/>
      <c r="F100" s="176"/>
      <c r="G100" s="176"/>
      <c r="H100" s="271">
        <f t="shared" si="4"/>
        <v>0</v>
      </c>
      <c r="I100" s="176"/>
      <c r="J100" s="176"/>
      <c r="K100" s="176"/>
      <c r="L100" s="271">
        <f t="shared" si="5"/>
        <v>0</v>
      </c>
      <c r="M100" s="147"/>
      <c r="N100" s="184"/>
      <c r="O100" s="176"/>
      <c r="P100" s="177">
        <f t="shared" si="6"/>
        <v>0</v>
      </c>
      <c r="Q100" s="280"/>
      <c r="R100" s="185"/>
      <c r="S100" s="115">
        <f t="shared" si="8"/>
        <v>0</v>
      </c>
      <c r="T100" s="146" t="str" cm="1">
        <f t="array" ref="T100">IF(S100:S100=0,"Ei toimenpiteitä","Kirjoita tähän mitä tehdään")</f>
        <v>Ei toimenpiteitä</v>
      </c>
      <c r="U100" s="11"/>
      <c r="V100" s="109"/>
      <c r="W100" s="109"/>
      <c r="X100" s="109"/>
      <c r="Y100" s="109"/>
    </row>
    <row r="101" spans="1:25" s="110" customFormat="1" x14ac:dyDescent="0.35">
      <c r="A101" s="12"/>
      <c r="B101" s="320" t="str">
        <f>IF(T101="Kirjoita tähän mitä tehdään","Uusien väliovien hankinta ja asentaminen *Rakennusselostus puuttuu","Uusien väliovien hankinta ja asentaminen")</f>
        <v>Uusien väliovien hankinta ja asentaminen</v>
      </c>
      <c r="C101" s="321"/>
      <c r="D101" s="175"/>
      <c r="E101" s="176"/>
      <c r="F101" s="176"/>
      <c r="G101" s="176"/>
      <c r="H101" s="271">
        <f t="shared" si="4"/>
        <v>0</v>
      </c>
      <c r="I101" s="176"/>
      <c r="J101" s="176"/>
      <c r="K101" s="176"/>
      <c r="L101" s="271">
        <f t="shared" si="5"/>
        <v>0</v>
      </c>
      <c r="M101" s="147"/>
      <c r="N101" s="184"/>
      <c r="O101" s="176"/>
      <c r="P101" s="177">
        <f t="shared" si="6"/>
        <v>0</v>
      </c>
      <c r="Q101" s="280"/>
      <c r="R101" s="185"/>
      <c r="S101" s="115">
        <f t="shared" si="8"/>
        <v>0</v>
      </c>
      <c r="T101" s="146" t="str" cm="1">
        <f t="array" ref="T101">IF(S101:S101=0,"Ei toimenpiteitä","Kirjoita tähän mitä tehdään")</f>
        <v>Ei toimenpiteitä</v>
      </c>
      <c r="U101" s="11"/>
      <c r="V101" s="109"/>
      <c r="W101" s="109"/>
      <c r="X101" s="109"/>
      <c r="Y101" s="109"/>
    </row>
    <row r="102" spans="1:25" s="110" customFormat="1" x14ac:dyDescent="0.35">
      <c r="A102" s="12"/>
      <c r="B102" s="188" t="str">
        <f>IF(T102="Kirjoita tähän mitä tehdään","Muu korjaus: *Rakennusselostus puuttuu","Muu korjaus:")</f>
        <v>Muu korjaus:</v>
      </c>
      <c r="C102" s="300"/>
      <c r="D102" s="175"/>
      <c r="E102" s="176"/>
      <c r="F102" s="176"/>
      <c r="G102" s="176"/>
      <c r="H102" s="271">
        <f t="shared" si="4"/>
        <v>0</v>
      </c>
      <c r="I102" s="176"/>
      <c r="J102" s="176"/>
      <c r="K102" s="176"/>
      <c r="L102" s="271">
        <f t="shared" si="5"/>
        <v>0</v>
      </c>
      <c r="M102" s="147"/>
      <c r="N102" s="184"/>
      <c r="O102" s="176"/>
      <c r="P102" s="177">
        <f t="shared" ref="P102:P139" si="9">N102*20+O102*60</f>
        <v>0</v>
      </c>
      <c r="Q102" s="280"/>
      <c r="R102" s="185"/>
      <c r="S102" s="115">
        <f t="shared" si="8"/>
        <v>0</v>
      </c>
      <c r="T102" s="146" t="str" cm="1">
        <f t="array" ref="T102">IF(S102:S102=0,"Ei toimenpiteitä","Kirjoita tähän mitä tehdään")</f>
        <v>Ei toimenpiteitä</v>
      </c>
      <c r="U102" s="11"/>
      <c r="V102" s="109"/>
      <c r="W102" s="109"/>
      <c r="X102" s="109"/>
      <c r="Y102" s="109"/>
    </row>
    <row r="103" spans="1:25" x14ac:dyDescent="0.35">
      <c r="A103" s="10" t="s">
        <v>79</v>
      </c>
      <c r="B103" s="27"/>
      <c r="C103" s="27"/>
      <c r="D103" s="145"/>
      <c r="E103" s="156"/>
      <c r="F103" s="156"/>
      <c r="G103" s="156"/>
      <c r="H103" s="156"/>
      <c r="I103" s="156"/>
      <c r="J103" s="156"/>
      <c r="K103" s="156"/>
      <c r="L103" s="155"/>
      <c r="M103" s="157"/>
      <c r="N103" s="158"/>
      <c r="O103" s="156"/>
      <c r="P103" s="156"/>
      <c r="Q103" s="289"/>
      <c r="R103" s="252"/>
      <c r="S103" s="115">
        <f t="shared" si="8"/>
        <v>0</v>
      </c>
      <c r="T103" s="161"/>
      <c r="U103" s="11"/>
      <c r="V103" s="1"/>
      <c r="W103" s="1"/>
      <c r="X103" s="1"/>
      <c r="Y103" s="1"/>
    </row>
    <row r="104" spans="1:25" s="110" customFormat="1" x14ac:dyDescent="0.35">
      <c r="A104" s="12"/>
      <c r="B104" s="318" t="str">
        <f>IF(T104="Kirjoita tähän mitä tehdään","Lattiapinnoitteen purkaminen (matto, laatta, parketti) *Rakennusselostus puuttuu","Lattiapinnoitteen purkaminen (matto, laatta, parketti)")</f>
        <v>Lattiapinnoitteen purkaminen (matto, laatta, parketti)</v>
      </c>
      <c r="C104" s="325"/>
      <c r="D104" s="175"/>
      <c r="E104" s="176"/>
      <c r="F104" s="176"/>
      <c r="G104" s="176"/>
      <c r="H104" s="271">
        <f t="shared" si="4"/>
        <v>0</v>
      </c>
      <c r="I104" s="176"/>
      <c r="J104" s="176"/>
      <c r="K104" s="176"/>
      <c r="L104" s="271">
        <f t="shared" si="5"/>
        <v>0</v>
      </c>
      <c r="M104" s="147"/>
      <c r="N104" s="184"/>
      <c r="O104" s="176"/>
      <c r="P104" s="177">
        <f t="shared" si="9"/>
        <v>0</v>
      </c>
      <c r="Q104" s="280"/>
      <c r="R104" s="185"/>
      <c r="S104" s="115">
        <f t="shared" si="8"/>
        <v>0</v>
      </c>
      <c r="T104" s="146" t="str" cm="1">
        <f t="array" ref="T104">IF(S104:S104=0,"Ei toimenpiteitä","Kirjoita tähän mitä tehdään")</f>
        <v>Ei toimenpiteitä</v>
      </c>
      <c r="U104" s="11"/>
      <c r="V104" s="109"/>
      <c r="W104" s="109"/>
      <c r="X104" s="109"/>
      <c r="Y104" s="109"/>
    </row>
    <row r="105" spans="1:25" s="110" customFormat="1" x14ac:dyDescent="0.35">
      <c r="A105" s="12"/>
      <c r="B105" s="320" t="str">
        <f>IF(T105="Kirjoita tähän mitä tehdään","Lautalattian purkaminen *Rakennusselostus puuttuu","Lautalattian purkaminen")</f>
        <v>Lautalattian purkaminen</v>
      </c>
      <c r="C105" s="321"/>
      <c r="D105" s="175"/>
      <c r="E105" s="176"/>
      <c r="F105" s="176"/>
      <c r="G105" s="176"/>
      <c r="H105" s="271">
        <f t="shared" si="4"/>
        <v>0</v>
      </c>
      <c r="I105" s="176"/>
      <c r="J105" s="176"/>
      <c r="K105" s="176"/>
      <c r="L105" s="271">
        <f t="shared" si="5"/>
        <v>0</v>
      </c>
      <c r="M105" s="147"/>
      <c r="N105" s="184"/>
      <c r="O105" s="176"/>
      <c r="P105" s="177">
        <f t="shared" si="9"/>
        <v>0</v>
      </c>
      <c r="Q105" s="280"/>
      <c r="R105" s="185"/>
      <c r="S105" s="115">
        <f t="shared" si="8"/>
        <v>0</v>
      </c>
      <c r="T105" s="146" t="str" cm="1">
        <f t="array" ref="T105">IF(S105:S105=0,"Ei toimenpiteitä","Kirjoita tähän mitä tehdään")</f>
        <v>Ei toimenpiteitä</v>
      </c>
      <c r="U105" s="11"/>
      <c r="V105" s="109"/>
      <c r="W105" s="109"/>
      <c r="X105" s="109"/>
      <c r="Y105" s="109"/>
    </row>
    <row r="106" spans="1:25" s="110" customFormat="1" x14ac:dyDescent="0.35">
      <c r="A106" s="12"/>
      <c r="B106" s="320" t="str">
        <f>IF(T106="Kirjoita tähän mitä tehdään","Lattian pinnoittaminen (lauta, parketti, laatta tai vastaava) *Rakennusselostus puuttuu","Lattian pinnoittaminen (lauta, parketti, laatta tai vastaava)")</f>
        <v>Lattian pinnoittaminen (lauta, parketti, laatta tai vastaava)</v>
      </c>
      <c r="C106" s="321"/>
      <c r="D106" s="175"/>
      <c r="E106" s="176"/>
      <c r="F106" s="176"/>
      <c r="G106" s="176"/>
      <c r="H106" s="271">
        <f t="shared" si="4"/>
        <v>0</v>
      </c>
      <c r="I106" s="176"/>
      <c r="J106" s="176"/>
      <c r="K106" s="176"/>
      <c r="L106" s="271">
        <f t="shared" si="5"/>
        <v>0</v>
      </c>
      <c r="M106" s="147"/>
      <c r="N106" s="184"/>
      <c r="O106" s="176"/>
      <c r="P106" s="177">
        <f t="shared" si="9"/>
        <v>0</v>
      </c>
      <c r="Q106" s="280"/>
      <c r="R106" s="185"/>
      <c r="S106" s="115">
        <f t="shared" si="8"/>
        <v>0</v>
      </c>
      <c r="T106" s="146" t="str" cm="1">
        <f t="array" ref="T106">IF(S106:S106=0,"Ei toimenpiteitä","Kirjoita tähän mitä tehdään")</f>
        <v>Ei toimenpiteitä</v>
      </c>
      <c r="U106" s="11"/>
      <c r="V106" s="109"/>
      <c r="W106" s="109"/>
      <c r="X106" s="109"/>
      <c r="Y106" s="109"/>
    </row>
    <row r="107" spans="1:25" s="110" customFormat="1" x14ac:dyDescent="0.35">
      <c r="A107" s="12"/>
      <c r="B107" s="320" t="str">
        <f>IF(T107="Kirjoita tähän mitä tehdään","Lattian levytys (kipsilevy, lastulevy tai vastaava) *Rakennusselostus puuttuu","Lattian levytys (kipsilevy, lastulevy tai vastaava)")</f>
        <v>Lattian levytys (kipsilevy, lastulevy tai vastaava)</v>
      </c>
      <c r="C107" s="321"/>
      <c r="D107" s="175"/>
      <c r="E107" s="176"/>
      <c r="F107" s="176"/>
      <c r="G107" s="176"/>
      <c r="H107" s="271">
        <f t="shared" si="4"/>
        <v>0</v>
      </c>
      <c r="I107" s="176"/>
      <c r="J107" s="176"/>
      <c r="K107" s="176"/>
      <c r="L107" s="271">
        <f t="shared" si="5"/>
        <v>0</v>
      </c>
      <c r="M107" s="147"/>
      <c r="N107" s="184"/>
      <c r="O107" s="176"/>
      <c r="P107" s="177">
        <f t="shared" si="9"/>
        <v>0</v>
      </c>
      <c r="Q107" s="280"/>
      <c r="R107" s="185"/>
      <c r="S107" s="115">
        <f t="shared" si="8"/>
        <v>0</v>
      </c>
      <c r="T107" s="146" t="str" cm="1">
        <f t="array" ref="T107">IF(S107:S107=0,"Ei toimenpiteitä","Kirjoita tähän mitä tehdään")</f>
        <v>Ei toimenpiteitä</v>
      </c>
      <c r="U107" s="11"/>
      <c r="V107" s="109"/>
      <c r="W107" s="109"/>
      <c r="X107" s="109"/>
      <c r="Y107" s="109"/>
    </row>
    <row r="108" spans="1:25" s="110" customFormat="1" x14ac:dyDescent="0.35">
      <c r="A108" s="12"/>
      <c r="B108" s="320" t="str">
        <f>IF(T108="Kirjoita tähän mitä tehdään","Lattian tasoitus ja maalaus *Rakennusselostus puuttuu","Lattian tasoitus ja maalaus")</f>
        <v>Lattian tasoitus ja maalaus</v>
      </c>
      <c r="C108" s="321"/>
      <c r="D108" s="175"/>
      <c r="E108" s="176"/>
      <c r="F108" s="176"/>
      <c r="G108" s="176"/>
      <c r="H108" s="271">
        <f t="shared" si="4"/>
        <v>0</v>
      </c>
      <c r="I108" s="176"/>
      <c r="J108" s="176"/>
      <c r="K108" s="176"/>
      <c r="L108" s="271">
        <f t="shared" si="5"/>
        <v>0</v>
      </c>
      <c r="M108" s="147"/>
      <c r="N108" s="184"/>
      <c r="O108" s="176"/>
      <c r="P108" s="177">
        <f t="shared" si="9"/>
        <v>0</v>
      </c>
      <c r="Q108" s="280"/>
      <c r="R108" s="185"/>
      <c r="S108" s="115">
        <f t="shared" si="8"/>
        <v>0</v>
      </c>
      <c r="T108" s="146" t="str" cm="1">
        <f t="array" ref="T108">IF(S108:S108=0,"Ei toimenpiteitä","Kirjoita tähän mitä tehdään")</f>
        <v>Ei toimenpiteitä</v>
      </c>
      <c r="U108" s="11"/>
      <c r="V108" s="109"/>
      <c r="W108" s="109"/>
      <c r="X108" s="109"/>
      <c r="Y108" s="109"/>
    </row>
    <row r="109" spans="1:25" s="110" customFormat="1" x14ac:dyDescent="0.35">
      <c r="A109" s="12"/>
      <c r="B109" s="320" t="str">
        <f>IF(T109="Kirjoita tähän mitä tehdään","Sisäseinäverhouksen purkaminen *Rakennusselostus puuttuu","Sisäseinäverhouksen purkaminen")</f>
        <v>Sisäseinäverhouksen purkaminen</v>
      </c>
      <c r="C109" s="321"/>
      <c r="D109" s="175"/>
      <c r="E109" s="176"/>
      <c r="F109" s="176"/>
      <c r="G109" s="176"/>
      <c r="H109" s="271">
        <f t="shared" si="4"/>
        <v>0</v>
      </c>
      <c r="I109" s="176"/>
      <c r="J109" s="176"/>
      <c r="K109" s="176"/>
      <c r="L109" s="271">
        <f t="shared" si="5"/>
        <v>0</v>
      </c>
      <c r="M109" s="147"/>
      <c r="N109" s="184"/>
      <c r="O109" s="176"/>
      <c r="P109" s="177">
        <f t="shared" si="9"/>
        <v>0</v>
      </c>
      <c r="Q109" s="280"/>
      <c r="R109" s="185"/>
      <c r="S109" s="115">
        <f t="shared" si="8"/>
        <v>0</v>
      </c>
      <c r="T109" s="146" t="str" cm="1">
        <f t="array" ref="T109">IF(S109:S109=0,"Ei toimenpiteitä","Kirjoita tähän mitä tehdään")</f>
        <v>Ei toimenpiteitä</v>
      </c>
      <c r="U109" s="11"/>
      <c r="V109" s="109"/>
      <c r="W109" s="109"/>
      <c r="X109" s="109"/>
      <c r="Y109" s="109"/>
    </row>
    <row r="110" spans="1:25" s="110" customFormat="1" x14ac:dyDescent="0.35">
      <c r="A110" s="12"/>
      <c r="B110" s="320" t="str">
        <f>IF(T110="Kirjoita tähän mitä tehdään","Sisäseinäverhouksen uusiminen *Rakennusselostus puuttuu","Sisäseinäverhouksen uusiminen")</f>
        <v>Sisäseinäverhouksen uusiminen</v>
      </c>
      <c r="C110" s="321"/>
      <c r="D110" s="175"/>
      <c r="E110" s="176"/>
      <c r="F110" s="176"/>
      <c r="G110" s="176"/>
      <c r="H110" s="271">
        <f t="shared" si="4"/>
        <v>0</v>
      </c>
      <c r="I110" s="176"/>
      <c r="J110" s="176"/>
      <c r="K110" s="176"/>
      <c r="L110" s="271">
        <f t="shared" si="5"/>
        <v>0</v>
      </c>
      <c r="M110" s="147"/>
      <c r="N110" s="184"/>
      <c r="O110" s="176"/>
      <c r="P110" s="177">
        <f t="shared" si="9"/>
        <v>0</v>
      </c>
      <c r="Q110" s="280"/>
      <c r="R110" s="185"/>
      <c r="S110" s="115">
        <f t="shared" si="8"/>
        <v>0</v>
      </c>
      <c r="T110" s="146" t="str" cm="1">
        <f t="array" ref="T110">IF(S110:S110=0,"Ei toimenpiteitä","Kirjoita tähän mitä tehdään")</f>
        <v>Ei toimenpiteitä</v>
      </c>
      <c r="U110" s="11"/>
      <c r="V110" s="109"/>
      <c r="W110" s="109"/>
      <c r="X110" s="109"/>
      <c r="Y110" s="109"/>
    </row>
    <row r="111" spans="1:25" s="110" customFormat="1" x14ac:dyDescent="0.35">
      <c r="A111" s="12"/>
      <c r="B111" s="320" t="str">
        <f>IF(T111="Kirjoita tähän mitä tehdään","Sisäseinien pinnoittaminen (maalaus, laatta, tapetointi) *Rakennusselostus puuttuu","Sisäseinien pinnoittaminen (maalaus, laatta, tapetointi)")</f>
        <v>Sisäseinien pinnoittaminen (maalaus, laatta, tapetointi)</v>
      </c>
      <c r="C111" s="321"/>
      <c r="D111" s="175"/>
      <c r="E111" s="176"/>
      <c r="F111" s="176"/>
      <c r="G111" s="176"/>
      <c r="H111" s="271">
        <f t="shared" si="4"/>
        <v>0</v>
      </c>
      <c r="I111" s="176"/>
      <c r="J111" s="176"/>
      <c r="K111" s="176"/>
      <c r="L111" s="271">
        <f t="shared" si="5"/>
        <v>0</v>
      </c>
      <c r="M111" s="147"/>
      <c r="N111" s="184"/>
      <c r="O111" s="176"/>
      <c r="P111" s="177">
        <f t="shared" si="9"/>
        <v>0</v>
      </c>
      <c r="Q111" s="280"/>
      <c r="R111" s="185"/>
      <c r="S111" s="115">
        <f t="shared" si="8"/>
        <v>0</v>
      </c>
      <c r="T111" s="146" t="str" cm="1">
        <f t="array" ref="T111">IF(S111:S111=0,"Ei toimenpiteitä","Kirjoita tähän mitä tehdään")</f>
        <v>Ei toimenpiteitä</v>
      </c>
      <c r="U111" s="11"/>
      <c r="V111" s="109"/>
      <c r="W111" s="109"/>
      <c r="X111" s="109"/>
      <c r="Y111" s="109"/>
    </row>
    <row r="112" spans="1:25" s="110" customFormat="1" x14ac:dyDescent="0.35">
      <c r="A112" s="12"/>
      <c r="B112" s="320" t="str">
        <f>IF(T112="Kirjoita tähän mitä tehdään","Alakaton purkaminen *Rakennusselostus puuttuu","Alakaton purkaminen")</f>
        <v>Alakaton purkaminen</v>
      </c>
      <c r="C112" s="321"/>
      <c r="D112" s="175"/>
      <c r="E112" s="176"/>
      <c r="F112" s="176"/>
      <c r="G112" s="176"/>
      <c r="H112" s="271">
        <f t="shared" si="4"/>
        <v>0</v>
      </c>
      <c r="I112" s="176"/>
      <c r="J112" s="176"/>
      <c r="K112" s="176"/>
      <c r="L112" s="271">
        <f t="shared" si="5"/>
        <v>0</v>
      </c>
      <c r="M112" s="147"/>
      <c r="N112" s="184"/>
      <c r="O112" s="176"/>
      <c r="P112" s="177">
        <f t="shared" si="9"/>
        <v>0</v>
      </c>
      <c r="Q112" s="280"/>
      <c r="R112" s="185"/>
      <c r="S112" s="115">
        <f t="shared" si="8"/>
        <v>0</v>
      </c>
      <c r="T112" s="146" t="str" cm="1">
        <f t="array" ref="T112">IF(S112:S112=0,"Ei toimenpiteitä","Kirjoita tähän mitä tehdään")</f>
        <v>Ei toimenpiteitä</v>
      </c>
      <c r="U112" s="11"/>
      <c r="V112" s="109"/>
      <c r="W112" s="109"/>
      <c r="X112" s="109"/>
      <c r="Y112" s="109"/>
    </row>
    <row r="113" spans="1:25" s="110" customFormat="1" x14ac:dyDescent="0.35">
      <c r="A113" s="12"/>
      <c r="B113" s="320" t="str">
        <f>IF(T113="Kirjoita tähän mitä tehdään","Alakaton paikkauskorjaus *Rakennusselostus puuttuu","Alakaton paikkauskorjaus")</f>
        <v>Alakaton paikkauskorjaus</v>
      </c>
      <c r="C113" s="321"/>
      <c r="D113" s="175"/>
      <c r="E113" s="176"/>
      <c r="F113" s="176"/>
      <c r="G113" s="176"/>
      <c r="H113" s="271">
        <f t="shared" si="4"/>
        <v>0</v>
      </c>
      <c r="I113" s="176"/>
      <c r="J113" s="176"/>
      <c r="K113" s="176"/>
      <c r="L113" s="271">
        <f t="shared" si="5"/>
        <v>0</v>
      </c>
      <c r="M113" s="147"/>
      <c r="N113" s="184"/>
      <c r="O113" s="176"/>
      <c r="P113" s="177">
        <f t="shared" si="9"/>
        <v>0</v>
      </c>
      <c r="Q113" s="280"/>
      <c r="R113" s="185"/>
      <c r="S113" s="115">
        <f t="shared" si="8"/>
        <v>0</v>
      </c>
      <c r="T113" s="146" t="str" cm="1">
        <f t="array" ref="T113">IF(S113:S113=0,"Ei toimenpiteitä","Kirjoita tähän mitä tehdään")</f>
        <v>Ei toimenpiteitä</v>
      </c>
      <c r="U113" s="11"/>
      <c r="V113" s="109"/>
      <c r="W113" s="109"/>
      <c r="X113" s="109"/>
      <c r="Y113" s="109"/>
    </row>
    <row r="114" spans="1:25" s="110" customFormat="1" x14ac:dyDescent="0.35">
      <c r="A114" s="12"/>
      <c r="B114" s="320" t="str">
        <f>IF(T114="Kirjoita tähän mitä tehdään","Kattopintojen verhous (levy, paneeli tai vastaava) *Rakennusselostus puuttuu","Kattopintojen verhous (levy, paneeli tai vastaava)")</f>
        <v>Kattopintojen verhous (levy, paneeli tai vastaava)</v>
      </c>
      <c r="C114" s="321"/>
      <c r="D114" s="175"/>
      <c r="E114" s="176"/>
      <c r="F114" s="176"/>
      <c r="G114" s="176"/>
      <c r="H114" s="271">
        <f t="shared" si="4"/>
        <v>0</v>
      </c>
      <c r="I114" s="176"/>
      <c r="J114" s="176"/>
      <c r="K114" s="176"/>
      <c r="L114" s="271">
        <f t="shared" si="5"/>
        <v>0</v>
      </c>
      <c r="M114" s="147"/>
      <c r="N114" s="184"/>
      <c r="O114" s="176"/>
      <c r="P114" s="177">
        <f t="shared" si="9"/>
        <v>0</v>
      </c>
      <c r="Q114" s="280"/>
      <c r="R114" s="185"/>
      <c r="S114" s="115">
        <f t="shared" si="8"/>
        <v>0</v>
      </c>
      <c r="T114" s="146" t="str" cm="1">
        <f t="array" ref="T114">IF(S114:S114=0,"Ei toimenpiteitä","Kirjoita tähän mitä tehdään")</f>
        <v>Ei toimenpiteitä</v>
      </c>
      <c r="U114" s="11"/>
      <c r="V114" s="109"/>
      <c r="W114" s="109"/>
      <c r="X114" s="109"/>
      <c r="Y114" s="109"/>
    </row>
    <row r="115" spans="1:25" s="110" customFormat="1" x14ac:dyDescent="0.35">
      <c r="A115" s="12"/>
      <c r="B115" s="320" t="str">
        <f>IF(T115="Kirjoita tähän mitä tehdään","Alakattojen pinnoittaminen  *Rakennusselostus puuttuu","Alakattojen pinnoittaminen ")</f>
        <v xml:space="preserve">Alakattojen pinnoittaminen </v>
      </c>
      <c r="C115" s="321"/>
      <c r="D115" s="175"/>
      <c r="E115" s="176"/>
      <c r="F115" s="176"/>
      <c r="G115" s="176"/>
      <c r="H115" s="271">
        <f t="shared" si="4"/>
        <v>0</v>
      </c>
      <c r="I115" s="176"/>
      <c r="J115" s="176"/>
      <c r="K115" s="176"/>
      <c r="L115" s="271">
        <f t="shared" si="5"/>
        <v>0</v>
      </c>
      <c r="M115" s="147"/>
      <c r="N115" s="184"/>
      <c r="O115" s="176"/>
      <c r="P115" s="177">
        <f t="shared" si="9"/>
        <v>0</v>
      </c>
      <c r="Q115" s="280"/>
      <c r="R115" s="185"/>
      <c r="S115" s="115">
        <f t="shared" si="8"/>
        <v>0</v>
      </c>
      <c r="T115" s="146" t="str" cm="1">
        <f t="array" ref="T115">IF(S115:S115=0,"Ei toimenpiteitä","Kirjoita tähän mitä tehdään")</f>
        <v>Ei toimenpiteitä</v>
      </c>
      <c r="U115" s="11"/>
      <c r="V115" s="109"/>
      <c r="W115" s="109"/>
      <c r="X115" s="109"/>
      <c r="Y115" s="109"/>
    </row>
    <row r="116" spans="1:25" s="110" customFormat="1" x14ac:dyDescent="0.35">
      <c r="A116" s="12"/>
      <c r="B116" s="320" t="str">
        <f>IF(T116="Kirjoita tähän mitä tehdään","Märkätilan ja saunan pintojen purkaminen *Rakennusselostus puuttuu","Märkätilan ja saunan pintojen purkaminen")</f>
        <v>Märkätilan ja saunan pintojen purkaminen</v>
      </c>
      <c r="C116" s="321"/>
      <c r="D116" s="175"/>
      <c r="E116" s="176"/>
      <c r="F116" s="176"/>
      <c r="G116" s="176"/>
      <c r="H116" s="271">
        <f t="shared" si="4"/>
        <v>0</v>
      </c>
      <c r="I116" s="176"/>
      <c r="J116" s="176"/>
      <c r="K116" s="176"/>
      <c r="L116" s="271">
        <f t="shared" si="5"/>
        <v>0</v>
      </c>
      <c r="M116" s="147"/>
      <c r="N116" s="184"/>
      <c r="O116" s="176"/>
      <c r="P116" s="177">
        <f t="shared" si="9"/>
        <v>0</v>
      </c>
      <c r="Q116" s="280"/>
      <c r="R116" s="185"/>
      <c r="S116" s="115">
        <f t="shared" si="8"/>
        <v>0</v>
      </c>
      <c r="T116" s="146" t="str" cm="1">
        <f t="array" ref="T116">IF(S116:S116=0,"Ei toimenpiteitä","Kirjoita tähän mitä tehdään")</f>
        <v>Ei toimenpiteitä</v>
      </c>
      <c r="U116" s="11"/>
      <c r="V116" s="109"/>
      <c r="W116" s="109"/>
      <c r="X116" s="109"/>
      <c r="Y116" s="109"/>
    </row>
    <row r="117" spans="1:25" s="110" customFormat="1" x14ac:dyDescent="0.35">
      <c r="A117" s="12"/>
      <c r="B117" s="320" t="str">
        <f>IF(T117="Kirjoita tähän mitä tehdään","Märkätilojen vedeneritykset *Rakennusselostus puuttuu","Märkätilojen vedeneritykset")</f>
        <v>Märkätilojen vedeneritykset</v>
      </c>
      <c r="C117" s="321"/>
      <c r="D117" s="175"/>
      <c r="E117" s="176"/>
      <c r="F117" s="176"/>
      <c r="G117" s="176"/>
      <c r="H117" s="271">
        <f t="shared" si="4"/>
        <v>0</v>
      </c>
      <c r="I117" s="176"/>
      <c r="J117" s="176"/>
      <c r="K117" s="176"/>
      <c r="L117" s="271">
        <f t="shared" si="5"/>
        <v>0</v>
      </c>
      <c r="M117" s="147"/>
      <c r="N117" s="184"/>
      <c r="O117" s="176"/>
      <c r="P117" s="177">
        <f t="shared" si="9"/>
        <v>0</v>
      </c>
      <c r="Q117" s="280"/>
      <c r="R117" s="185"/>
      <c r="S117" s="115">
        <f t="shared" si="8"/>
        <v>0</v>
      </c>
      <c r="T117" s="146" t="str" cm="1">
        <f t="array" ref="T117">IF(S117:S117=0,"Ei toimenpiteitä","Kirjoita tähän mitä tehdään")</f>
        <v>Ei toimenpiteitä</v>
      </c>
      <c r="U117" s="11"/>
      <c r="V117" s="109"/>
      <c r="W117" s="109"/>
      <c r="X117" s="109"/>
      <c r="Y117" s="109"/>
    </row>
    <row r="118" spans="1:25" s="110" customFormat="1" x14ac:dyDescent="0.35">
      <c r="A118" s="12"/>
      <c r="B118" s="320" t="str">
        <f>IF(T118="Kirjoita tähän mitä tehdään","Märkätilojen lattian pinnoitukset *Rakennusselostus puuttuu","Märkätilojen lattian pinnoitukset")</f>
        <v>Märkätilojen lattian pinnoitukset</v>
      </c>
      <c r="C118" s="321"/>
      <c r="D118" s="175"/>
      <c r="E118" s="176"/>
      <c r="F118" s="176"/>
      <c r="G118" s="176"/>
      <c r="H118" s="271">
        <f t="shared" si="4"/>
        <v>0</v>
      </c>
      <c r="I118" s="176"/>
      <c r="J118" s="176"/>
      <c r="K118" s="176"/>
      <c r="L118" s="271">
        <f t="shared" si="5"/>
        <v>0</v>
      </c>
      <c r="M118" s="147"/>
      <c r="N118" s="184"/>
      <c r="O118" s="176"/>
      <c r="P118" s="177">
        <f t="shared" si="9"/>
        <v>0</v>
      </c>
      <c r="Q118" s="280"/>
      <c r="R118" s="185"/>
      <c r="S118" s="115">
        <f t="shared" si="8"/>
        <v>0</v>
      </c>
      <c r="T118" s="146" t="str" cm="1">
        <f t="array" ref="T118">IF(S118:S118=0,"Ei toimenpiteitä","Kirjoita tähän mitä tehdään")</f>
        <v>Ei toimenpiteitä</v>
      </c>
      <c r="U118" s="11"/>
      <c r="V118" s="109"/>
      <c r="W118" s="109"/>
      <c r="X118" s="109"/>
      <c r="Y118" s="109"/>
    </row>
    <row r="119" spans="1:25" s="110" customFormat="1" x14ac:dyDescent="0.35">
      <c r="A119" s="12"/>
      <c r="B119" s="320" t="str">
        <f>IF(T119="Kirjoita tähän mitä tehdään","Märkätilojen seinien pinnoitukset *Rakennusselostus puuttuu","Märkätilojen seinien pinnoitukset")</f>
        <v>Märkätilojen seinien pinnoitukset</v>
      </c>
      <c r="C119" s="321"/>
      <c r="D119" s="175"/>
      <c r="E119" s="176"/>
      <c r="F119" s="176"/>
      <c r="G119" s="176"/>
      <c r="H119" s="271">
        <f t="shared" si="4"/>
        <v>0</v>
      </c>
      <c r="I119" s="176"/>
      <c r="J119" s="176"/>
      <c r="K119" s="176"/>
      <c r="L119" s="271">
        <f t="shared" si="5"/>
        <v>0</v>
      </c>
      <c r="M119" s="147"/>
      <c r="N119" s="184"/>
      <c r="O119" s="176"/>
      <c r="P119" s="177">
        <f t="shared" si="9"/>
        <v>0</v>
      </c>
      <c r="Q119" s="280"/>
      <c r="R119" s="185"/>
      <c r="S119" s="115">
        <f t="shared" si="8"/>
        <v>0</v>
      </c>
      <c r="T119" s="146" t="str" cm="1">
        <f t="array" ref="T119">IF(S119:S119=0,"Ei toimenpiteitä","Kirjoita tähän mitä tehdään")</f>
        <v>Ei toimenpiteitä</v>
      </c>
      <c r="U119" s="11"/>
      <c r="V119" s="109"/>
      <c r="W119" s="109"/>
      <c r="X119" s="109"/>
      <c r="Y119" s="109"/>
    </row>
    <row r="120" spans="1:25" s="110" customFormat="1" x14ac:dyDescent="0.35">
      <c r="A120" s="12"/>
      <c r="B120" s="320" t="str">
        <f>IF(T120="Kirjoita tähän mitä tehdään","Saunan lauteet *Rakennusselostus puuttuu","Saunan lauteet")</f>
        <v>Saunan lauteet</v>
      </c>
      <c r="C120" s="321"/>
      <c r="D120" s="175"/>
      <c r="E120" s="176"/>
      <c r="F120" s="176"/>
      <c r="G120" s="176"/>
      <c r="H120" s="271">
        <f t="shared" si="4"/>
        <v>0</v>
      </c>
      <c r="I120" s="176"/>
      <c r="J120" s="176"/>
      <c r="K120" s="176"/>
      <c r="L120" s="271">
        <f t="shared" si="5"/>
        <v>0</v>
      </c>
      <c r="M120" s="147"/>
      <c r="N120" s="184"/>
      <c r="O120" s="176"/>
      <c r="P120" s="177">
        <f t="shared" si="9"/>
        <v>0</v>
      </c>
      <c r="Q120" s="280"/>
      <c r="R120" s="185"/>
      <c r="S120" s="115">
        <f t="shared" si="8"/>
        <v>0</v>
      </c>
      <c r="T120" s="146" t="str" cm="1">
        <f t="array" ref="T120">IF(S120:S120=0,"Ei toimenpiteitä","Kirjoita tähän mitä tehdään")</f>
        <v>Ei toimenpiteitä</v>
      </c>
      <c r="U120" s="11"/>
      <c r="V120" s="109"/>
      <c r="W120" s="109"/>
      <c r="X120" s="109"/>
      <c r="Y120" s="109"/>
    </row>
    <row r="121" spans="1:25" s="110" customFormat="1" x14ac:dyDescent="0.35">
      <c r="A121" s="12"/>
      <c r="B121" s="320" t="str">
        <f>IF(T121="Kirjoita tähän mitä tehdään","Saunan seinien ja katon verhoukset *Rakennusselostus puuttuu","Saunan seinien ja katon verhoukset")</f>
        <v>Saunan seinien ja katon verhoukset</v>
      </c>
      <c r="C121" s="321"/>
      <c r="D121" s="175"/>
      <c r="E121" s="176"/>
      <c r="F121" s="176"/>
      <c r="G121" s="176"/>
      <c r="H121" s="271">
        <f t="shared" si="4"/>
        <v>0</v>
      </c>
      <c r="I121" s="176"/>
      <c r="J121" s="176"/>
      <c r="K121" s="176"/>
      <c r="L121" s="271">
        <f t="shared" si="5"/>
        <v>0</v>
      </c>
      <c r="M121" s="147"/>
      <c r="N121" s="184"/>
      <c r="O121" s="176"/>
      <c r="P121" s="177">
        <f t="shared" si="9"/>
        <v>0</v>
      </c>
      <c r="Q121" s="280"/>
      <c r="R121" s="185"/>
      <c r="S121" s="115">
        <f t="shared" si="8"/>
        <v>0</v>
      </c>
      <c r="T121" s="146" t="str" cm="1">
        <f t="array" ref="T121">IF(S121:S121=0,"Ei toimenpiteitä","Kirjoita tähän mitä tehdään")</f>
        <v>Ei toimenpiteitä</v>
      </c>
      <c r="U121" s="11"/>
      <c r="V121" s="109"/>
      <c r="W121" s="109"/>
      <c r="X121" s="109"/>
      <c r="Y121" s="109"/>
    </row>
    <row r="122" spans="1:25" s="110" customFormat="1" x14ac:dyDescent="0.35">
      <c r="A122" s="12"/>
      <c r="B122" s="320" t="str">
        <f>IF(T122="Kirjoita tähän mitä tehdään","Saunan ovi *Rakennusselostus puuttuu","Saunan ovi")</f>
        <v>Saunan ovi</v>
      </c>
      <c r="C122" s="321"/>
      <c r="D122" s="175"/>
      <c r="E122" s="176"/>
      <c r="F122" s="176"/>
      <c r="G122" s="176"/>
      <c r="H122" s="271">
        <f t="shared" si="4"/>
        <v>0</v>
      </c>
      <c r="I122" s="176"/>
      <c r="J122" s="176"/>
      <c r="K122" s="176"/>
      <c r="L122" s="271">
        <f t="shared" si="5"/>
        <v>0</v>
      </c>
      <c r="M122" s="147"/>
      <c r="N122" s="184"/>
      <c r="O122" s="176"/>
      <c r="P122" s="177">
        <f t="shared" si="9"/>
        <v>0</v>
      </c>
      <c r="Q122" s="280"/>
      <c r="R122" s="185"/>
      <c r="S122" s="115">
        <f t="shared" si="8"/>
        <v>0</v>
      </c>
      <c r="T122" s="146" t="str" cm="1">
        <f t="array" ref="T122">IF(S122:S122=0,"Ei toimenpiteitä","Kirjoita tähän mitä tehdään")</f>
        <v>Ei toimenpiteitä</v>
      </c>
      <c r="U122" s="11"/>
      <c r="V122" s="109"/>
      <c r="W122" s="109"/>
      <c r="X122" s="109"/>
      <c r="Y122" s="109"/>
    </row>
    <row r="123" spans="1:25" s="110" customFormat="1" x14ac:dyDescent="0.35">
      <c r="A123" s="12"/>
      <c r="B123" s="320" t="str">
        <f>IF(T123="Kirjoita tähän mitä tehdään","Porraskaiteiden uusiminen tai kunnostaminen *Rakennusselostus puuttuu","Porraskaiteiden uusiminen tai kunnostaminen")</f>
        <v>Porraskaiteiden uusiminen tai kunnostaminen</v>
      </c>
      <c r="C123" s="321"/>
      <c r="D123" s="175"/>
      <c r="E123" s="176"/>
      <c r="F123" s="176"/>
      <c r="G123" s="176"/>
      <c r="H123" s="271">
        <f t="shared" si="4"/>
        <v>0</v>
      </c>
      <c r="I123" s="176"/>
      <c r="J123" s="176"/>
      <c r="K123" s="176"/>
      <c r="L123" s="271">
        <f t="shared" si="5"/>
        <v>0</v>
      </c>
      <c r="M123" s="147"/>
      <c r="N123" s="184"/>
      <c r="O123" s="176"/>
      <c r="P123" s="177">
        <f t="shared" si="9"/>
        <v>0</v>
      </c>
      <c r="Q123" s="280"/>
      <c r="R123" s="185"/>
      <c r="S123" s="115">
        <f t="shared" si="8"/>
        <v>0</v>
      </c>
      <c r="T123" s="146" t="str" cm="1">
        <f t="array" ref="T123">IF(S123:S123=0,"Ei toimenpiteitä","Kirjoita tähän mitä tehdään")</f>
        <v>Ei toimenpiteitä</v>
      </c>
      <c r="U123" s="11"/>
      <c r="V123" s="109"/>
      <c r="W123" s="109"/>
      <c r="X123" s="109"/>
      <c r="Y123" s="109"/>
    </row>
    <row r="124" spans="1:25" s="110" customFormat="1" x14ac:dyDescent="0.35">
      <c r="A124" s="12"/>
      <c r="B124" s="320" t="str">
        <f>IF(T124="Kirjoita tähän mitä tehdään","Jalkalistojen uusiminen *Rakennusselostus puuttuu","Jalkalistojen uusiminen")</f>
        <v>Jalkalistojen uusiminen</v>
      </c>
      <c r="C124" s="321"/>
      <c r="D124" s="175"/>
      <c r="E124" s="176"/>
      <c r="F124" s="176"/>
      <c r="G124" s="176"/>
      <c r="H124" s="271">
        <f t="shared" si="4"/>
        <v>0</v>
      </c>
      <c r="I124" s="176"/>
      <c r="J124" s="176"/>
      <c r="K124" s="176"/>
      <c r="L124" s="271">
        <f t="shared" si="5"/>
        <v>0</v>
      </c>
      <c r="M124" s="147"/>
      <c r="N124" s="184"/>
      <c r="O124" s="176"/>
      <c r="P124" s="177">
        <f t="shared" si="9"/>
        <v>0</v>
      </c>
      <c r="Q124" s="280"/>
      <c r="R124" s="185"/>
      <c r="S124" s="115">
        <f t="shared" si="8"/>
        <v>0</v>
      </c>
      <c r="T124" s="146" t="str" cm="1">
        <f t="array" ref="T124">IF(S124:S124=0,"Ei toimenpiteitä","Kirjoita tähän mitä tehdään")</f>
        <v>Ei toimenpiteitä</v>
      </c>
      <c r="U124" s="11"/>
      <c r="V124" s="109"/>
      <c r="W124" s="109"/>
      <c r="X124" s="109"/>
      <c r="Y124" s="109"/>
    </row>
    <row r="125" spans="1:25" s="110" customFormat="1" x14ac:dyDescent="0.35">
      <c r="A125" s="12"/>
      <c r="B125" s="320" t="str">
        <f>IF(T125="Kirjoita tähän mitä tehdään","Ovilistojen uusiminen *Rakennusselostus puuttuu","Ovilistojen uusiminen")</f>
        <v>Ovilistojen uusiminen</v>
      </c>
      <c r="C125" s="321"/>
      <c r="D125" s="175"/>
      <c r="E125" s="176"/>
      <c r="F125" s="176"/>
      <c r="G125" s="176"/>
      <c r="H125" s="271">
        <f t="shared" si="4"/>
        <v>0</v>
      </c>
      <c r="I125" s="176"/>
      <c r="J125" s="176"/>
      <c r="K125" s="176"/>
      <c r="L125" s="271">
        <f t="shared" si="5"/>
        <v>0</v>
      </c>
      <c r="M125" s="147"/>
      <c r="N125" s="184"/>
      <c r="O125" s="176"/>
      <c r="P125" s="177">
        <f t="shared" si="9"/>
        <v>0</v>
      </c>
      <c r="Q125" s="280"/>
      <c r="R125" s="185"/>
      <c r="S125" s="115">
        <f t="shared" si="8"/>
        <v>0</v>
      </c>
      <c r="T125" s="146" t="str" cm="1">
        <f t="array" ref="T125">IF(S125:S125=0,"Ei toimenpiteitä","Kirjoita tähän mitä tehdään")</f>
        <v>Ei toimenpiteitä</v>
      </c>
      <c r="U125" s="11"/>
      <c r="V125" s="109"/>
      <c r="W125" s="109"/>
      <c r="X125" s="109"/>
      <c r="Y125" s="109"/>
    </row>
    <row r="126" spans="1:25" s="110" customFormat="1" x14ac:dyDescent="0.35">
      <c r="A126" s="12"/>
      <c r="B126" s="320" t="str">
        <f>IF(T126="Kirjoita tähän mitä tehdään","Ikkunalistojen uusiminen *Rakennusselostus puuttuu","Ikkunalistojen uusiminen")</f>
        <v>Ikkunalistojen uusiminen</v>
      </c>
      <c r="C126" s="321"/>
      <c r="D126" s="175"/>
      <c r="E126" s="176"/>
      <c r="F126" s="176"/>
      <c r="G126" s="176"/>
      <c r="H126" s="271">
        <f t="shared" si="4"/>
        <v>0</v>
      </c>
      <c r="I126" s="176"/>
      <c r="J126" s="176"/>
      <c r="K126" s="176"/>
      <c r="L126" s="271">
        <f t="shared" si="5"/>
        <v>0</v>
      </c>
      <c r="M126" s="147"/>
      <c r="N126" s="184"/>
      <c r="O126" s="176"/>
      <c r="P126" s="177">
        <f t="shared" si="9"/>
        <v>0</v>
      </c>
      <c r="Q126" s="280"/>
      <c r="R126" s="185"/>
      <c r="S126" s="115">
        <f t="shared" si="8"/>
        <v>0</v>
      </c>
      <c r="T126" s="146" t="str" cm="1">
        <f t="array" ref="T126">IF(S126:S126=0,"Ei toimenpiteitä","Kirjoita tähän mitä tehdään")</f>
        <v>Ei toimenpiteitä</v>
      </c>
      <c r="U126" s="11"/>
      <c r="V126" s="109"/>
      <c r="W126" s="109"/>
      <c r="X126" s="109"/>
      <c r="Y126" s="109"/>
    </row>
    <row r="127" spans="1:25" s="110" customFormat="1" x14ac:dyDescent="0.35">
      <c r="A127" s="12"/>
      <c r="B127" s="320" t="str">
        <f>IF(T127="Kirjoita tähän mitä tehdään","Kattolistojen uusiminen *Rakennusselostus puuttuu","Kattolistojen uusiminen")</f>
        <v>Kattolistojen uusiminen</v>
      </c>
      <c r="C127" s="321"/>
      <c r="D127" s="175"/>
      <c r="E127" s="176"/>
      <c r="F127" s="176"/>
      <c r="G127" s="176"/>
      <c r="H127" s="271">
        <f t="shared" si="4"/>
        <v>0</v>
      </c>
      <c r="I127" s="176"/>
      <c r="J127" s="176"/>
      <c r="K127" s="176"/>
      <c r="L127" s="271">
        <f t="shared" si="5"/>
        <v>0</v>
      </c>
      <c r="M127" s="147"/>
      <c r="N127" s="184"/>
      <c r="O127" s="176"/>
      <c r="P127" s="177">
        <f t="shared" si="9"/>
        <v>0</v>
      </c>
      <c r="Q127" s="280"/>
      <c r="R127" s="185"/>
      <c r="S127" s="115">
        <f t="shared" si="8"/>
        <v>0</v>
      </c>
      <c r="T127" s="146" t="str" cm="1">
        <f t="array" ref="T127">IF(S127:S127=0,"Ei toimenpiteitä","Kirjoita tähän mitä tehdään")</f>
        <v>Ei toimenpiteitä</v>
      </c>
      <c r="U127" s="11"/>
      <c r="V127" s="109"/>
      <c r="W127" s="109"/>
      <c r="X127" s="109"/>
      <c r="Y127" s="109"/>
    </row>
    <row r="128" spans="1:25" s="110" customFormat="1" x14ac:dyDescent="0.35">
      <c r="A128" s="12"/>
      <c r="B128" s="188" t="str">
        <f>IF(T128="Kirjoita tähän mitä tehdään","Muu korjaus: *Rakennusselostus puuttuu","Muu korjaus:")</f>
        <v>Muu korjaus:</v>
      </c>
      <c r="C128" s="299"/>
      <c r="D128" s="175"/>
      <c r="E128" s="176"/>
      <c r="F128" s="176"/>
      <c r="G128" s="176"/>
      <c r="H128" s="271">
        <f t="shared" si="4"/>
        <v>0</v>
      </c>
      <c r="I128" s="176"/>
      <c r="J128" s="176"/>
      <c r="K128" s="176"/>
      <c r="L128" s="271">
        <f t="shared" si="5"/>
        <v>0</v>
      </c>
      <c r="M128" s="147"/>
      <c r="N128" s="184"/>
      <c r="O128" s="176"/>
      <c r="P128" s="177">
        <f t="shared" si="9"/>
        <v>0</v>
      </c>
      <c r="Q128" s="280"/>
      <c r="R128" s="185"/>
      <c r="S128" s="115">
        <f t="shared" si="8"/>
        <v>0</v>
      </c>
      <c r="T128" s="146" t="str" cm="1">
        <f t="array" ref="T128">IF(S128:S128=0,"Ei toimenpiteitä","Kirjoita tähän mitä tehdään")</f>
        <v>Ei toimenpiteitä</v>
      </c>
      <c r="U128" s="11"/>
      <c r="V128" s="109"/>
      <c r="W128" s="109"/>
      <c r="X128" s="109"/>
      <c r="Y128" s="109"/>
    </row>
    <row r="129" spans="1:25" s="110" customFormat="1" x14ac:dyDescent="0.35">
      <c r="A129" s="12"/>
      <c r="B129" s="188" t="str">
        <f>IF(T129="Kirjoita tähän mitä tehdään","Muu korjaus: *Rakennusselostus puuttuu","Muu korjaus:")</f>
        <v>Muu korjaus:</v>
      </c>
      <c r="C129" s="300"/>
      <c r="D129" s="175"/>
      <c r="E129" s="176"/>
      <c r="F129" s="176"/>
      <c r="G129" s="176"/>
      <c r="H129" s="271">
        <f t="shared" si="4"/>
        <v>0</v>
      </c>
      <c r="I129" s="176"/>
      <c r="J129" s="176"/>
      <c r="K129" s="176"/>
      <c r="L129" s="271">
        <f t="shared" si="5"/>
        <v>0</v>
      </c>
      <c r="M129" s="147"/>
      <c r="N129" s="184"/>
      <c r="O129" s="176"/>
      <c r="P129" s="177">
        <f t="shared" si="9"/>
        <v>0</v>
      </c>
      <c r="Q129" s="280"/>
      <c r="R129" s="185"/>
      <c r="S129" s="115">
        <f t="shared" si="8"/>
        <v>0</v>
      </c>
      <c r="T129" s="146" t="str" cm="1">
        <f t="array" ref="T129">IF(S129:S129=0,"Ei toimenpiteitä","Kirjoita tähän mitä tehdään")</f>
        <v>Ei toimenpiteitä</v>
      </c>
      <c r="U129" s="11"/>
      <c r="V129" s="109"/>
      <c r="W129" s="109"/>
      <c r="X129" s="109"/>
      <c r="Y129" s="109"/>
    </row>
    <row r="130" spans="1:25" s="114" customFormat="1" x14ac:dyDescent="0.35">
      <c r="A130" s="44" t="s">
        <v>187</v>
      </c>
      <c r="B130" s="51"/>
      <c r="C130" s="51"/>
      <c r="D130" s="273"/>
      <c r="E130" s="152"/>
      <c r="F130" s="46"/>
      <c r="G130" s="152"/>
      <c r="H130" s="152"/>
      <c r="I130" s="152"/>
      <c r="J130" s="152"/>
      <c r="K130" s="152"/>
      <c r="L130" s="149"/>
      <c r="M130" s="147"/>
      <c r="N130" s="150"/>
      <c r="O130" s="151"/>
      <c r="P130" s="152"/>
      <c r="Q130" s="288"/>
      <c r="R130" s="153"/>
      <c r="S130" s="115">
        <f t="shared" si="8"/>
        <v>0</v>
      </c>
      <c r="T130" s="159"/>
      <c r="U130" s="11"/>
      <c r="V130" s="113"/>
      <c r="W130" s="113"/>
    </row>
    <row r="131" spans="1:25" s="110" customFormat="1" x14ac:dyDescent="0.35">
      <c r="A131" s="12"/>
      <c r="B131" s="318" t="str">
        <f>IF(T131="Kirjoita tähän mitä tehdään","Kiintokalusteiden purkaminen *Rakennusselostus puuttuu","Kiintokalusteiden purkaminen")</f>
        <v>Kiintokalusteiden purkaminen</v>
      </c>
      <c r="C131" s="325"/>
      <c r="D131" s="239"/>
      <c r="E131" s="256"/>
      <c r="F131" s="256"/>
      <c r="G131" s="256"/>
      <c r="H131" s="274">
        <f t="shared" si="4"/>
        <v>0</v>
      </c>
      <c r="I131" s="256"/>
      <c r="J131" s="256"/>
      <c r="K131" s="256"/>
      <c r="L131" s="274">
        <f t="shared" si="5"/>
        <v>0</v>
      </c>
      <c r="M131" s="147"/>
      <c r="N131" s="184"/>
      <c r="O131" s="176"/>
      <c r="P131" s="177">
        <f t="shared" si="9"/>
        <v>0</v>
      </c>
      <c r="Q131" s="280"/>
      <c r="R131" s="185"/>
      <c r="S131" s="115">
        <f t="shared" si="8"/>
        <v>0</v>
      </c>
      <c r="T131" s="146" t="str" cm="1">
        <f t="array" ref="T131">IF(S131:S131=0,"Ei toimenpiteitä","Kirjoita tähän mitä tehdään")</f>
        <v>Ei toimenpiteitä</v>
      </c>
      <c r="U131" s="11"/>
      <c r="V131" s="109"/>
      <c r="W131" s="109"/>
      <c r="X131" s="109"/>
      <c r="Y131" s="109"/>
    </row>
    <row r="132" spans="1:25" s="110" customFormat="1" x14ac:dyDescent="0.35">
      <c r="A132" s="12"/>
      <c r="B132" s="320" t="str">
        <f>IF(T132="Kirjoita tähän mitä tehdään","Varusteet (naulakot, verholaudat/kiskot) *Rakennusselostus puuttuu","Varusteet (naulakot, verholaudat/kiskot)")</f>
        <v>Varusteet (naulakot, verholaudat/kiskot)</v>
      </c>
      <c r="C132" s="321"/>
      <c r="D132" s="175"/>
      <c r="E132" s="176"/>
      <c r="F132" s="176"/>
      <c r="G132" s="176"/>
      <c r="H132" s="271">
        <f t="shared" si="4"/>
        <v>0</v>
      </c>
      <c r="I132" s="176"/>
      <c r="J132" s="176"/>
      <c r="K132" s="176"/>
      <c r="L132" s="271">
        <f t="shared" si="5"/>
        <v>0</v>
      </c>
      <c r="M132" s="147"/>
      <c r="N132" s="184"/>
      <c r="O132" s="176"/>
      <c r="P132" s="177">
        <f t="shared" si="9"/>
        <v>0</v>
      </c>
      <c r="Q132" s="280"/>
      <c r="R132" s="185"/>
      <c r="S132" s="115">
        <f t="shared" si="8"/>
        <v>0</v>
      </c>
      <c r="T132" s="146" t="str" cm="1">
        <f t="array" ref="T132">IF(S132:S132=0,"Ei toimenpiteitä","Kirjoita tähän mitä tehdään")</f>
        <v>Ei toimenpiteitä</v>
      </c>
      <c r="U132" s="11"/>
      <c r="V132" s="109"/>
      <c r="W132" s="109"/>
      <c r="X132" s="109"/>
      <c r="Y132" s="109"/>
    </row>
    <row r="133" spans="1:25" s="110" customFormat="1" x14ac:dyDescent="0.35">
      <c r="A133" s="12"/>
      <c r="B133" s="320" t="str">
        <f>IF(T133="Kirjoita tähän mitä tehdään","Kiintokalusteet *Rakennusselostus puuttuu","Kiintokalusteet")</f>
        <v>Kiintokalusteet</v>
      </c>
      <c r="C133" s="321"/>
      <c r="D133" s="175"/>
      <c r="E133" s="176"/>
      <c r="F133" s="176"/>
      <c r="G133" s="176"/>
      <c r="H133" s="271">
        <f t="shared" si="4"/>
        <v>0</v>
      </c>
      <c r="I133" s="176"/>
      <c r="J133" s="176"/>
      <c r="K133" s="176"/>
      <c r="L133" s="271">
        <f t="shared" si="5"/>
        <v>0</v>
      </c>
      <c r="M133" s="147"/>
      <c r="N133" s="184"/>
      <c r="O133" s="176"/>
      <c r="P133" s="177">
        <f t="shared" si="9"/>
        <v>0</v>
      </c>
      <c r="Q133" s="280"/>
      <c r="R133" s="185"/>
      <c r="S133" s="115">
        <f t="shared" si="8"/>
        <v>0</v>
      </c>
      <c r="T133" s="146" t="str" cm="1">
        <f t="array" ref="T133">IF(S133:S133=0,"Ei toimenpiteitä","Kirjoita tähän mitä tehdään")</f>
        <v>Ei toimenpiteitä</v>
      </c>
      <c r="U133" s="11"/>
      <c r="V133" s="109"/>
      <c r="W133" s="109"/>
      <c r="X133" s="109"/>
      <c r="Y133" s="109"/>
    </row>
    <row r="134" spans="1:25" s="110" customFormat="1" x14ac:dyDescent="0.35">
      <c r="A134" s="12"/>
      <c r="B134" s="320" t="str">
        <f>IF(T134="Kirjoita tähän mitä tehdään","Liedet *Rakennusselostus puuttuu","Liedet")</f>
        <v>Liedet</v>
      </c>
      <c r="C134" s="321"/>
      <c r="D134" s="175"/>
      <c r="E134" s="176"/>
      <c r="F134" s="176"/>
      <c r="G134" s="176"/>
      <c r="H134" s="271">
        <f t="shared" si="4"/>
        <v>0</v>
      </c>
      <c r="I134" s="176"/>
      <c r="J134" s="176"/>
      <c r="K134" s="176"/>
      <c r="L134" s="271">
        <f t="shared" si="5"/>
        <v>0</v>
      </c>
      <c r="M134" s="147"/>
      <c r="N134" s="184"/>
      <c r="O134" s="176"/>
      <c r="P134" s="177">
        <f t="shared" si="9"/>
        <v>0</v>
      </c>
      <c r="Q134" s="280"/>
      <c r="R134" s="185"/>
      <c r="S134" s="115">
        <f t="shared" si="8"/>
        <v>0</v>
      </c>
      <c r="T134" s="146" t="str" cm="1">
        <f t="array" ref="T134">IF(S134:S134=0,"Ei toimenpiteitä","Kirjoita tähän mitä tehdään")</f>
        <v>Ei toimenpiteitä</v>
      </c>
      <c r="U134" s="11"/>
      <c r="V134" s="109"/>
      <c r="W134" s="109"/>
      <c r="X134" s="109"/>
      <c r="Y134" s="109"/>
    </row>
    <row r="135" spans="1:25" s="110" customFormat="1" x14ac:dyDescent="0.35">
      <c r="A135" s="12"/>
      <c r="B135" s="320" t="str">
        <f>IF(T135="Kirjoita tähän mitä tehdään","Jääkaapit *Rakennusselostus puuttuu","Jääkaapit")</f>
        <v>Jääkaapit</v>
      </c>
      <c r="C135" s="321"/>
      <c r="D135" s="175"/>
      <c r="E135" s="176"/>
      <c r="F135" s="176"/>
      <c r="G135" s="176"/>
      <c r="H135" s="271">
        <f t="shared" si="4"/>
        <v>0</v>
      </c>
      <c r="I135" s="176"/>
      <c r="J135" s="176"/>
      <c r="K135" s="176"/>
      <c r="L135" s="271">
        <f t="shared" si="5"/>
        <v>0</v>
      </c>
      <c r="M135" s="147"/>
      <c r="N135" s="184"/>
      <c r="O135" s="176"/>
      <c r="P135" s="177">
        <f t="shared" si="9"/>
        <v>0</v>
      </c>
      <c r="Q135" s="280"/>
      <c r="R135" s="185"/>
      <c r="S135" s="115">
        <f t="shared" si="8"/>
        <v>0</v>
      </c>
      <c r="T135" s="146" t="str" cm="1">
        <f t="array" ref="T135">IF(S135:S135=0,"Ei toimenpiteitä","Kirjoita tähän mitä tehdään")</f>
        <v>Ei toimenpiteitä</v>
      </c>
      <c r="U135" s="11"/>
      <c r="V135" s="109"/>
      <c r="W135" s="109"/>
      <c r="X135" s="109"/>
      <c r="Y135" s="109"/>
    </row>
    <row r="136" spans="1:25" s="110" customFormat="1" x14ac:dyDescent="0.35">
      <c r="A136" s="12"/>
      <c r="B136" s="320" t="str">
        <f>IF(T136="Kirjoita tähän mitä tehdään","Pakastimet *Rakennusselostus puuttuu","Pakastimet")</f>
        <v>Pakastimet</v>
      </c>
      <c r="C136" s="321"/>
      <c r="D136" s="175"/>
      <c r="E136" s="176"/>
      <c r="F136" s="176"/>
      <c r="G136" s="176"/>
      <c r="H136" s="271">
        <f t="shared" si="4"/>
        <v>0</v>
      </c>
      <c r="I136" s="176"/>
      <c r="J136" s="176"/>
      <c r="K136" s="176"/>
      <c r="L136" s="271">
        <f t="shared" si="5"/>
        <v>0</v>
      </c>
      <c r="M136" s="147"/>
      <c r="N136" s="184"/>
      <c r="O136" s="176"/>
      <c r="P136" s="177">
        <f t="shared" si="9"/>
        <v>0</v>
      </c>
      <c r="Q136" s="280"/>
      <c r="R136" s="185"/>
      <c r="S136" s="115">
        <f t="shared" si="8"/>
        <v>0</v>
      </c>
      <c r="T136" s="146" t="str" cm="1">
        <f t="array" ref="T136">IF(S136:S136=0,"Ei toimenpiteitä","Kirjoita tähän mitä tehdään")</f>
        <v>Ei toimenpiteitä</v>
      </c>
      <c r="U136" s="11"/>
      <c r="V136" s="109"/>
      <c r="W136" s="109"/>
      <c r="X136" s="109"/>
      <c r="Y136" s="109"/>
    </row>
    <row r="137" spans="1:25" s="110" customFormat="1" x14ac:dyDescent="0.35">
      <c r="A137" s="12"/>
      <c r="B137" s="320" t="str">
        <f>IF(T137="Kirjoita tähän mitä tehdään","Uunit *Rakennusselostus puuttuu","Uunit")</f>
        <v>Uunit</v>
      </c>
      <c r="C137" s="321"/>
      <c r="D137" s="175"/>
      <c r="E137" s="176"/>
      <c r="F137" s="176"/>
      <c r="G137" s="176"/>
      <c r="H137" s="271">
        <f t="shared" si="4"/>
        <v>0</v>
      </c>
      <c r="I137" s="176"/>
      <c r="J137" s="176"/>
      <c r="K137" s="176"/>
      <c r="L137" s="271">
        <f t="shared" si="5"/>
        <v>0</v>
      </c>
      <c r="M137" s="147"/>
      <c r="N137" s="184"/>
      <c r="O137" s="176"/>
      <c r="P137" s="177">
        <f t="shared" si="9"/>
        <v>0</v>
      </c>
      <c r="Q137" s="280"/>
      <c r="R137" s="185"/>
      <c r="S137" s="115">
        <f t="shared" si="8"/>
        <v>0</v>
      </c>
      <c r="T137" s="146" t="str" cm="1">
        <f t="array" ref="T137">IF(S137:S137=0,"Ei toimenpiteitä","Kirjoita tähän mitä tehdään")</f>
        <v>Ei toimenpiteitä</v>
      </c>
      <c r="U137" s="11"/>
      <c r="V137" s="109"/>
      <c r="W137" s="109"/>
      <c r="X137" s="109"/>
      <c r="Y137" s="109"/>
    </row>
    <row r="138" spans="1:25" s="110" customFormat="1" x14ac:dyDescent="0.35">
      <c r="A138" s="12"/>
      <c r="B138" s="174" t="str">
        <f>IF(T138="Kirjoita tähän mitä tehdään","Muut koneet ja laitteet: *Rakennusselostus puuttuu","Muut koneet ja laitteet:")</f>
        <v>Muut koneet ja laitteet:</v>
      </c>
      <c r="C138" s="301"/>
      <c r="D138" s="175"/>
      <c r="E138" s="176"/>
      <c r="F138" s="176"/>
      <c r="G138" s="176"/>
      <c r="H138" s="271">
        <f t="shared" si="4"/>
        <v>0</v>
      </c>
      <c r="I138" s="176"/>
      <c r="J138" s="176"/>
      <c r="K138" s="176"/>
      <c r="L138" s="271">
        <f t="shared" si="5"/>
        <v>0</v>
      </c>
      <c r="M138" s="147"/>
      <c r="N138" s="184"/>
      <c r="O138" s="176"/>
      <c r="P138" s="177">
        <f t="shared" si="9"/>
        <v>0</v>
      </c>
      <c r="Q138" s="280"/>
      <c r="R138" s="185"/>
      <c r="S138" s="115">
        <f t="shared" si="8"/>
        <v>0</v>
      </c>
      <c r="T138" s="146" t="str" cm="1">
        <f t="array" ref="T138">IF(S138:S138=0,"Ei toimenpiteitä","Kirjoita tähän mitä tehdään")</f>
        <v>Ei toimenpiteitä</v>
      </c>
      <c r="U138" s="11"/>
      <c r="V138" s="109"/>
      <c r="W138" s="109"/>
      <c r="X138" s="109"/>
      <c r="Y138" s="109"/>
    </row>
    <row r="139" spans="1:25" s="110" customFormat="1" x14ac:dyDescent="0.35">
      <c r="A139" s="12"/>
      <c r="B139" s="188" t="str">
        <f>IF(T139="Kirjoita tähän mitä tehdään","Muu kaluste / varuste: *Rakennusselostus puuttuu","Muu kaluste / varuste:")</f>
        <v>Muu kaluste / varuste:</v>
      </c>
      <c r="C139" s="299"/>
      <c r="D139" s="175"/>
      <c r="E139" s="176"/>
      <c r="F139" s="176"/>
      <c r="G139" s="176"/>
      <c r="H139" s="271">
        <f t="shared" si="4"/>
        <v>0</v>
      </c>
      <c r="I139" s="176"/>
      <c r="J139" s="176"/>
      <c r="K139" s="176"/>
      <c r="L139" s="271">
        <f t="shared" si="5"/>
        <v>0</v>
      </c>
      <c r="M139" s="147"/>
      <c r="N139" s="184"/>
      <c r="O139" s="176"/>
      <c r="P139" s="177">
        <f t="shared" si="9"/>
        <v>0</v>
      </c>
      <c r="Q139" s="280"/>
      <c r="R139" s="185"/>
      <c r="S139" s="115">
        <f t="shared" si="8"/>
        <v>0</v>
      </c>
      <c r="T139" s="146" t="str" cm="1">
        <f t="array" ref="T139">IF(S139:S139=0,"Ei toimenpiteitä","Kirjoita tähän mitä tehdään")</f>
        <v>Ei toimenpiteitä</v>
      </c>
      <c r="U139" s="11"/>
      <c r="V139" s="109"/>
      <c r="W139" s="109"/>
      <c r="X139" s="109"/>
      <c r="Y139" s="109"/>
    </row>
    <row r="140" spans="1:25" s="114" customFormat="1" x14ac:dyDescent="0.35">
      <c r="A140" s="44" t="s">
        <v>193</v>
      </c>
      <c r="B140" s="51"/>
      <c r="C140" s="51"/>
      <c r="D140" s="273"/>
      <c r="E140" s="152"/>
      <c r="F140" s="46"/>
      <c r="G140" s="152"/>
      <c r="H140" s="152"/>
      <c r="I140" s="152"/>
      <c r="J140" s="152"/>
      <c r="K140" s="152"/>
      <c r="L140" s="149"/>
      <c r="M140" s="147"/>
      <c r="N140" s="150"/>
      <c r="O140" s="151"/>
      <c r="P140" s="152"/>
      <c r="Q140" s="288"/>
      <c r="R140" s="153"/>
      <c r="S140" s="115">
        <f t="shared" ref="S140:S179" si="10">L140+P140</f>
        <v>0</v>
      </c>
      <c r="T140" s="159"/>
      <c r="U140" s="11"/>
      <c r="V140" s="113"/>
      <c r="W140" s="113"/>
    </row>
    <row r="141" spans="1:25" s="110" customFormat="1" x14ac:dyDescent="0.35">
      <c r="A141" s="12"/>
      <c r="B141" s="318" t="str">
        <f>IF(T141="Kirjoita tähän mitä tehdään","Savuhormien kunnostaminen *Rakennusselostus puuttuu","Savuhormien kunnostaminen")</f>
        <v>Savuhormien kunnostaminen</v>
      </c>
      <c r="C141" s="325"/>
      <c r="D141" s="239"/>
      <c r="E141" s="256"/>
      <c r="F141" s="256"/>
      <c r="G141" s="256"/>
      <c r="H141" s="274">
        <f t="shared" si="4"/>
        <v>0</v>
      </c>
      <c r="I141" s="256"/>
      <c r="J141" s="256"/>
      <c r="K141" s="256"/>
      <c r="L141" s="274">
        <f t="shared" si="5"/>
        <v>0</v>
      </c>
      <c r="M141" s="147"/>
      <c r="N141" s="184"/>
      <c r="O141" s="176"/>
      <c r="P141" s="177">
        <f>N141*20+O141*60</f>
        <v>0</v>
      </c>
      <c r="Q141" s="280"/>
      <c r="R141" s="185"/>
      <c r="S141" s="115">
        <f t="shared" si="10"/>
        <v>0</v>
      </c>
      <c r="T141" s="146" t="str" cm="1">
        <f t="array" ref="T141">IF(S141:S141=0,"Ei toimenpiteitä","Kirjoita tähän mitä tehdään")</f>
        <v>Ei toimenpiteitä</v>
      </c>
      <c r="U141" s="11"/>
      <c r="V141" s="109"/>
      <c r="W141" s="109"/>
      <c r="X141" s="109"/>
      <c r="Y141" s="109"/>
    </row>
    <row r="142" spans="1:25" s="110" customFormat="1" x14ac:dyDescent="0.35">
      <c r="A142" s="12"/>
      <c r="B142" s="320" t="str">
        <f>IF(T142="Kirjoita tähän mitä tehdään","Tulisijojen korjaus tai uusiminen *Rakennusselostus puuttuu","Tulisijojen korjaus tai uusiminen")</f>
        <v>Tulisijojen korjaus tai uusiminen</v>
      </c>
      <c r="C142" s="321"/>
      <c r="D142" s="175"/>
      <c r="E142" s="176"/>
      <c r="F142" s="176"/>
      <c r="G142" s="176"/>
      <c r="H142" s="271">
        <f t="shared" si="4"/>
        <v>0</v>
      </c>
      <c r="I142" s="176"/>
      <c r="J142" s="176"/>
      <c r="K142" s="176"/>
      <c r="L142" s="271">
        <f t="shared" si="5"/>
        <v>0</v>
      </c>
      <c r="M142" s="147"/>
      <c r="N142" s="184"/>
      <c r="O142" s="176"/>
      <c r="P142" s="177">
        <f t="shared" ref="P142:P179" si="11">N142*20+O142*60</f>
        <v>0</v>
      </c>
      <c r="Q142" s="280"/>
      <c r="R142" s="185"/>
      <c r="S142" s="115">
        <f t="shared" si="10"/>
        <v>0</v>
      </c>
      <c r="T142" s="146" t="str" cm="1">
        <f t="array" ref="T142">IF(S142:S142=0,"Ei toimenpiteitä","Kirjoita tähän mitä tehdään")</f>
        <v>Ei toimenpiteitä</v>
      </c>
      <c r="U142" s="11"/>
      <c r="V142" s="109"/>
      <c r="W142" s="109"/>
      <c r="X142" s="109"/>
      <c r="Y142" s="109"/>
    </row>
    <row r="143" spans="1:25" s="110" customFormat="1" x14ac:dyDescent="0.35">
      <c r="A143" s="12"/>
      <c r="B143" s="320" t="str">
        <f>IF(T143="Kirjoita tähän mitä tehdään","Hormielementit *Rakennusselostus puuttuu","Hormielementit")</f>
        <v>Hormielementit</v>
      </c>
      <c r="C143" s="321"/>
      <c r="D143" s="175"/>
      <c r="E143" s="176"/>
      <c r="F143" s="176"/>
      <c r="G143" s="176"/>
      <c r="H143" s="271">
        <f t="shared" si="4"/>
        <v>0</v>
      </c>
      <c r="I143" s="176"/>
      <c r="J143" s="176"/>
      <c r="K143" s="176"/>
      <c r="L143" s="271">
        <f t="shared" si="5"/>
        <v>0</v>
      </c>
      <c r="M143" s="147"/>
      <c r="N143" s="184"/>
      <c r="O143" s="176"/>
      <c r="P143" s="177">
        <f t="shared" si="11"/>
        <v>0</v>
      </c>
      <c r="Q143" s="280"/>
      <c r="R143" s="185"/>
      <c r="S143" s="115">
        <f t="shared" si="10"/>
        <v>0</v>
      </c>
      <c r="T143" s="146" t="str" cm="1">
        <f t="array" ref="T143">IF(S143:S143=0,"Ei toimenpiteitä","Kirjoita tähän mitä tehdään")</f>
        <v>Ei toimenpiteitä</v>
      </c>
      <c r="U143" s="11"/>
      <c r="V143" s="109"/>
      <c r="W143" s="109"/>
      <c r="X143" s="109"/>
      <c r="Y143" s="109"/>
    </row>
    <row r="144" spans="1:25" s="110" customFormat="1" x14ac:dyDescent="0.35">
      <c r="A144" s="12"/>
      <c r="B144" s="328" t="str">
        <f>IF(T144="Kirjoita tähän mitä tehdään","Kylmähuone-elementit *Rakennusselostus puuttuu","Kylmähuone-elementit")</f>
        <v>Kylmähuone-elementit</v>
      </c>
      <c r="C144" s="329"/>
      <c r="D144" s="175"/>
      <c r="E144" s="176"/>
      <c r="F144" s="176"/>
      <c r="G144" s="176"/>
      <c r="H144" s="271">
        <f t="shared" si="4"/>
        <v>0</v>
      </c>
      <c r="I144" s="176"/>
      <c r="J144" s="176"/>
      <c r="K144" s="176"/>
      <c r="L144" s="271">
        <f t="shared" si="5"/>
        <v>0</v>
      </c>
      <c r="M144" s="147"/>
      <c r="N144" s="184"/>
      <c r="O144" s="176"/>
      <c r="P144" s="177">
        <f t="shared" si="11"/>
        <v>0</v>
      </c>
      <c r="Q144" s="280"/>
      <c r="R144" s="185"/>
      <c r="S144" s="115">
        <f t="shared" si="10"/>
        <v>0</v>
      </c>
      <c r="T144" s="146" t="str" cm="1">
        <f t="array" ref="T144">IF(S144:S144=0,"Ei toimenpiteitä","Kirjoita tähän mitä tehdään")</f>
        <v>Ei toimenpiteitä</v>
      </c>
      <c r="U144" s="11"/>
      <c r="V144" s="109"/>
      <c r="W144" s="109"/>
      <c r="X144" s="109"/>
      <c r="Y144" s="109"/>
    </row>
    <row r="145" spans="1:25" s="114" customFormat="1" collapsed="1" x14ac:dyDescent="0.35">
      <c r="A145" s="44" t="s">
        <v>176</v>
      </c>
      <c r="B145" s="51"/>
      <c r="C145" s="286"/>
      <c r="D145" s="144"/>
      <c r="E145" s="148"/>
      <c r="F145" s="46"/>
      <c r="G145" s="148"/>
      <c r="H145" s="148"/>
      <c r="I145" s="152"/>
      <c r="J145" s="148"/>
      <c r="K145" s="148"/>
      <c r="L145" s="149"/>
      <c r="M145" s="147"/>
      <c r="N145" s="150"/>
      <c r="O145" s="151"/>
      <c r="P145" s="151"/>
      <c r="Q145" s="151"/>
      <c r="R145" s="153"/>
      <c r="S145" s="115">
        <f t="shared" si="10"/>
        <v>0</v>
      </c>
      <c r="T145" s="159"/>
      <c r="U145" s="11"/>
      <c r="V145" s="113"/>
      <c r="W145" s="113"/>
    </row>
    <row r="146" spans="1:25" x14ac:dyDescent="0.35">
      <c r="A146" s="10" t="s">
        <v>177</v>
      </c>
      <c r="B146" s="9"/>
      <c r="C146" s="27"/>
      <c r="D146" s="145"/>
      <c r="E146" s="156"/>
      <c r="F146" s="156"/>
      <c r="G146" s="156"/>
      <c r="H146" s="156"/>
      <c r="I146" s="156"/>
      <c r="J146" s="156"/>
      <c r="K146" s="156"/>
      <c r="L146" s="155"/>
      <c r="M146" s="157"/>
      <c r="N146" s="158"/>
      <c r="O146" s="156"/>
      <c r="P146" s="156"/>
      <c r="Q146" s="156"/>
      <c r="R146" s="252"/>
      <c r="S146" s="115">
        <f t="shared" si="10"/>
        <v>0</v>
      </c>
      <c r="T146" s="161"/>
      <c r="U146" s="11"/>
      <c r="V146" s="1"/>
      <c r="W146" s="1"/>
      <c r="X146" s="1"/>
      <c r="Y146" s="1"/>
    </row>
    <row r="147" spans="1:25" s="110" customFormat="1" x14ac:dyDescent="0.35">
      <c r="A147" s="12"/>
      <c r="B147" s="318" t="str">
        <f>IF(T147="Kirjoita tähän mitä tehdään","Lämmitysputkisto-, vesijohto ja viemäriurakka *Rakennusselostus puuttuu","Lämmitysputkisto-, vesijohto ja viemäriurakka")</f>
        <v>Lämmitysputkisto-, vesijohto ja viemäriurakka</v>
      </c>
      <c r="C147" s="325"/>
      <c r="D147" s="175"/>
      <c r="E147" s="176"/>
      <c r="F147" s="176"/>
      <c r="G147" s="176"/>
      <c r="H147" s="271">
        <f t="shared" si="4"/>
        <v>0</v>
      </c>
      <c r="I147" s="176"/>
      <c r="J147" s="176"/>
      <c r="K147" s="176"/>
      <c r="L147" s="271">
        <f t="shared" si="5"/>
        <v>0</v>
      </c>
      <c r="M147" s="147"/>
      <c r="N147" s="184"/>
      <c r="O147" s="176"/>
      <c r="P147" s="177">
        <f t="shared" si="11"/>
        <v>0</v>
      </c>
      <c r="Q147" s="280"/>
      <c r="R147" s="185"/>
      <c r="S147" s="115">
        <f t="shared" si="10"/>
        <v>0</v>
      </c>
      <c r="T147" s="146" t="str" cm="1">
        <f t="array" ref="T147">IF(S147:S147=0,"Ei toimenpiteitä","Kirjoita tähän mitä tehdään")</f>
        <v>Ei toimenpiteitä</v>
      </c>
      <c r="U147" s="11"/>
      <c r="V147" s="109"/>
      <c r="W147" s="109"/>
      <c r="X147" s="109"/>
      <c r="Y147" s="109"/>
    </row>
    <row r="148" spans="1:25" s="110" customFormat="1" x14ac:dyDescent="0.35">
      <c r="A148" s="12"/>
      <c r="B148" s="320" t="str">
        <f>IF(T148="Kirjoita tähän mitä tehdään","Lämmitysjärjestelmä (uusiminen tai korjaaminen) *Rakennusselostus puuttuu","Lämmitysjärjestelmä (uusiminen tai korjaaminen)")</f>
        <v>Lämmitysjärjestelmä (uusiminen tai korjaaminen)</v>
      </c>
      <c r="C148" s="321"/>
      <c r="D148" s="175"/>
      <c r="E148" s="176"/>
      <c r="F148" s="176"/>
      <c r="G148" s="176"/>
      <c r="H148" s="271">
        <f t="shared" si="4"/>
        <v>0</v>
      </c>
      <c r="I148" s="176"/>
      <c r="J148" s="176"/>
      <c r="K148" s="176"/>
      <c r="L148" s="271">
        <f t="shared" si="5"/>
        <v>0</v>
      </c>
      <c r="M148" s="147"/>
      <c r="N148" s="184"/>
      <c r="O148" s="176"/>
      <c r="P148" s="177">
        <f t="shared" si="11"/>
        <v>0</v>
      </c>
      <c r="Q148" s="280"/>
      <c r="R148" s="185"/>
      <c r="S148" s="115">
        <f t="shared" si="10"/>
        <v>0</v>
      </c>
      <c r="T148" s="146" t="str" cm="1">
        <f t="array" ref="T148">IF(S148:S148=0,"Ei toimenpiteitä","Kirjoita tähän mitä tehdään")</f>
        <v>Ei toimenpiteitä</v>
      </c>
      <c r="U148" s="11"/>
      <c r="V148" s="109"/>
      <c r="W148" s="109"/>
      <c r="X148" s="109"/>
      <c r="Y148" s="109"/>
    </row>
    <row r="149" spans="1:25" s="110" customFormat="1" x14ac:dyDescent="0.35">
      <c r="A149" s="12"/>
      <c r="B149" s="320" t="str">
        <f>IF(T149="Kirjoita tähän mitä tehdään","Ilmanvaihtojärjestelmä (uusiminen tai korjaaminen) *Rakennusselostus puuttuu","Ilmanvaihtojärjestelmä (uusiminen tai korjaaminen)")</f>
        <v>Ilmanvaihtojärjestelmä (uusiminen tai korjaaminen)</v>
      </c>
      <c r="C149" s="321"/>
      <c r="D149" s="175"/>
      <c r="E149" s="176"/>
      <c r="F149" s="176"/>
      <c r="G149" s="176"/>
      <c r="H149" s="271">
        <f t="shared" si="4"/>
        <v>0</v>
      </c>
      <c r="I149" s="176"/>
      <c r="J149" s="176"/>
      <c r="K149" s="176"/>
      <c r="L149" s="271">
        <f t="shared" si="5"/>
        <v>0</v>
      </c>
      <c r="M149" s="147"/>
      <c r="N149" s="184"/>
      <c r="O149" s="176"/>
      <c r="P149" s="177">
        <f t="shared" si="11"/>
        <v>0</v>
      </c>
      <c r="Q149" s="280"/>
      <c r="R149" s="185"/>
      <c r="S149" s="115">
        <f t="shared" si="10"/>
        <v>0</v>
      </c>
      <c r="T149" s="146" t="str" cm="1">
        <f t="array" ref="T149">IF(S149:S149=0,"Ei toimenpiteitä","Kirjoita tähän mitä tehdään")</f>
        <v>Ei toimenpiteitä</v>
      </c>
      <c r="U149" s="11"/>
      <c r="V149" s="109"/>
      <c r="W149" s="109"/>
      <c r="X149" s="109"/>
      <c r="Y149" s="109"/>
    </row>
    <row r="150" spans="1:25" s="110" customFormat="1" x14ac:dyDescent="0.35">
      <c r="A150" s="12"/>
      <c r="B150" s="320" t="str">
        <f>IF(T150="Kirjoita tähän mitä tehdään","Vesijohdot (jos ei ole urakassa) *Rakennusselostus puuttuu","Vesijohdot (jos ei ole urakassa)")</f>
        <v>Vesijohdot (jos ei ole urakassa)</v>
      </c>
      <c r="C150" s="321"/>
      <c r="D150" s="175"/>
      <c r="E150" s="176"/>
      <c r="F150" s="176"/>
      <c r="G150" s="176"/>
      <c r="H150" s="271">
        <f t="shared" si="4"/>
        <v>0</v>
      </c>
      <c r="I150" s="176"/>
      <c r="J150" s="176"/>
      <c r="K150" s="176"/>
      <c r="L150" s="271">
        <f t="shared" si="5"/>
        <v>0</v>
      </c>
      <c r="M150" s="147"/>
      <c r="N150" s="184"/>
      <c r="O150" s="176"/>
      <c r="P150" s="177">
        <f t="shared" si="11"/>
        <v>0</v>
      </c>
      <c r="Q150" s="280"/>
      <c r="R150" s="185"/>
      <c r="S150" s="115">
        <f t="shared" si="10"/>
        <v>0</v>
      </c>
      <c r="T150" s="146" t="str" cm="1">
        <f t="array" ref="T150">IF(S150:S150=0,"Ei toimenpiteitä","Kirjoita tähän mitä tehdään")</f>
        <v>Ei toimenpiteitä</v>
      </c>
      <c r="U150" s="11"/>
      <c r="V150" s="109"/>
      <c r="W150" s="109"/>
      <c r="X150" s="109"/>
      <c r="Y150" s="109"/>
    </row>
    <row r="151" spans="1:25" s="110" customFormat="1" x14ac:dyDescent="0.35">
      <c r="A151" s="12"/>
      <c r="B151" s="320" t="str">
        <f>IF(T151="Kirjoita tähän mitä tehdään","Vesikalusteet (jos ei ole urakassa) *Rakennusselostus puuttuu","Vesikalusteet (jos ei ole urakassa)")</f>
        <v>Vesikalusteet (jos ei ole urakassa)</v>
      </c>
      <c r="C151" s="321"/>
      <c r="D151" s="175"/>
      <c r="E151" s="176"/>
      <c r="F151" s="176"/>
      <c r="G151" s="176"/>
      <c r="H151" s="271">
        <f t="shared" si="4"/>
        <v>0</v>
      </c>
      <c r="I151" s="176"/>
      <c r="J151" s="176"/>
      <c r="K151" s="176"/>
      <c r="L151" s="271">
        <f t="shared" si="5"/>
        <v>0</v>
      </c>
      <c r="M151" s="147"/>
      <c r="N151" s="184"/>
      <c r="O151" s="176"/>
      <c r="P151" s="177">
        <f t="shared" si="11"/>
        <v>0</v>
      </c>
      <c r="Q151" s="280"/>
      <c r="R151" s="185"/>
      <c r="S151" s="115">
        <f t="shared" si="10"/>
        <v>0</v>
      </c>
      <c r="T151" s="146" t="str" cm="1">
        <f t="array" ref="T151">IF(S151:S151=0,"Ei toimenpiteitä","Kirjoita tähän mitä tehdään")</f>
        <v>Ei toimenpiteitä</v>
      </c>
      <c r="U151" s="11"/>
      <c r="V151" s="109"/>
      <c r="W151" s="109"/>
      <c r="X151" s="109"/>
      <c r="Y151" s="109"/>
    </row>
    <row r="152" spans="1:25" s="110" customFormat="1" x14ac:dyDescent="0.35">
      <c r="A152" s="12"/>
      <c r="B152" s="320" t="str">
        <f>IF(T152="Kirjoita tähän mitä tehdään","Viemärit *Rakennusselostus puuttuu","Viemärit")</f>
        <v>Viemärit</v>
      </c>
      <c r="C152" s="321"/>
      <c r="D152" s="175"/>
      <c r="E152" s="176"/>
      <c r="F152" s="176"/>
      <c r="G152" s="176"/>
      <c r="H152" s="271">
        <f t="shared" si="4"/>
        <v>0</v>
      </c>
      <c r="I152" s="176"/>
      <c r="J152" s="176"/>
      <c r="K152" s="176"/>
      <c r="L152" s="271">
        <f t="shared" si="5"/>
        <v>0</v>
      </c>
      <c r="M152" s="147"/>
      <c r="N152" s="184"/>
      <c r="O152" s="176"/>
      <c r="P152" s="177">
        <f t="shared" si="11"/>
        <v>0</v>
      </c>
      <c r="Q152" s="280"/>
      <c r="R152" s="185"/>
      <c r="S152" s="115">
        <f t="shared" si="10"/>
        <v>0</v>
      </c>
      <c r="T152" s="146" t="str" cm="1">
        <f t="array" ref="T152">IF(S152:S152=0,"Ei toimenpiteitä","Kirjoita tähän mitä tehdään")</f>
        <v>Ei toimenpiteitä</v>
      </c>
      <c r="U152" s="11"/>
      <c r="V152" s="109"/>
      <c r="W152" s="109"/>
      <c r="X152" s="109"/>
      <c r="Y152" s="109"/>
    </row>
    <row r="153" spans="1:25" s="110" customFormat="1" x14ac:dyDescent="0.35">
      <c r="A153" s="12"/>
      <c r="B153" s="320" t="str">
        <f>IF(T153="Kirjoita tähän mitä tehdään","Lattiakaivot *Rakennusselostus puuttuu","Lattiakaivot")</f>
        <v>Lattiakaivot</v>
      </c>
      <c r="C153" s="321"/>
      <c r="D153" s="175"/>
      <c r="E153" s="176"/>
      <c r="F153" s="176"/>
      <c r="G153" s="176"/>
      <c r="H153" s="271">
        <f t="shared" si="4"/>
        <v>0</v>
      </c>
      <c r="I153" s="176"/>
      <c r="J153" s="176"/>
      <c r="K153" s="176"/>
      <c r="L153" s="271">
        <f t="shared" si="5"/>
        <v>0</v>
      </c>
      <c r="M153" s="147"/>
      <c r="N153" s="184"/>
      <c r="O153" s="176"/>
      <c r="P153" s="177">
        <f t="shared" si="11"/>
        <v>0</v>
      </c>
      <c r="Q153" s="280"/>
      <c r="R153" s="185"/>
      <c r="S153" s="115">
        <f t="shared" si="10"/>
        <v>0</v>
      </c>
      <c r="T153" s="146" t="str" cm="1">
        <f t="array" ref="T153">IF(S153:S153=0,"Ei toimenpiteitä","Kirjoita tähän mitä tehdään")</f>
        <v>Ei toimenpiteitä</v>
      </c>
      <c r="U153" s="11"/>
      <c r="V153" s="109"/>
      <c r="W153" s="109"/>
      <c r="X153" s="109"/>
      <c r="Y153" s="109"/>
    </row>
    <row r="154" spans="1:25" s="110" customFormat="1" x14ac:dyDescent="0.35">
      <c r="A154" s="12"/>
      <c r="B154" s="320" t="str">
        <f>IF(T154="Kirjoita tähän mitä tehdään","Sähköurakka *Rakennusselostus puuttuu","Sähköurakka")</f>
        <v>Sähköurakka</v>
      </c>
      <c r="C154" s="321"/>
      <c r="D154" s="175"/>
      <c r="E154" s="176"/>
      <c r="F154" s="176"/>
      <c r="G154" s="176"/>
      <c r="H154" s="271">
        <f t="shared" si="4"/>
        <v>0</v>
      </c>
      <c r="I154" s="176"/>
      <c r="J154" s="176"/>
      <c r="K154" s="176"/>
      <c r="L154" s="271">
        <f t="shared" si="5"/>
        <v>0</v>
      </c>
      <c r="M154" s="147"/>
      <c r="N154" s="184"/>
      <c r="O154" s="176"/>
      <c r="P154" s="177">
        <f t="shared" si="11"/>
        <v>0</v>
      </c>
      <c r="Q154" s="280"/>
      <c r="R154" s="185"/>
      <c r="S154" s="115">
        <f t="shared" si="10"/>
        <v>0</v>
      </c>
      <c r="T154" s="146" t="str" cm="1">
        <f t="array" ref="T154">IF(S154:S154=0,"Ei toimenpiteitä","Kirjoita tähän mitä tehdään")</f>
        <v>Ei toimenpiteitä</v>
      </c>
      <c r="U154" s="11"/>
      <c r="V154" s="109"/>
      <c r="W154" s="109"/>
      <c r="X154" s="109"/>
      <c r="Y154" s="109"/>
    </row>
    <row r="155" spans="1:25" s="110" customFormat="1" x14ac:dyDescent="0.35">
      <c r="A155" s="12"/>
      <c r="B155" s="320" t="str">
        <f>IF(T155="Kirjoita tähän mitä tehdään","Kaapelit *Rakennusselostus puuttuu","Kaapelit")</f>
        <v>Kaapelit</v>
      </c>
      <c r="C155" s="321"/>
      <c r="D155" s="175"/>
      <c r="E155" s="176"/>
      <c r="F155" s="176"/>
      <c r="G155" s="176"/>
      <c r="H155" s="271">
        <f t="shared" si="4"/>
        <v>0</v>
      </c>
      <c r="I155" s="176"/>
      <c r="J155" s="176"/>
      <c r="K155" s="176"/>
      <c r="L155" s="271">
        <f t="shared" si="5"/>
        <v>0</v>
      </c>
      <c r="M155" s="147"/>
      <c r="N155" s="184"/>
      <c r="O155" s="176"/>
      <c r="P155" s="177">
        <f t="shared" si="11"/>
        <v>0</v>
      </c>
      <c r="Q155" s="280"/>
      <c r="R155" s="185"/>
      <c r="S155" s="115">
        <f t="shared" si="10"/>
        <v>0</v>
      </c>
      <c r="T155" s="146" t="str" cm="1">
        <f t="array" ref="T155">IF(S155:S155=0,"Ei toimenpiteitä","Kirjoita tähän mitä tehdään")</f>
        <v>Ei toimenpiteitä</v>
      </c>
      <c r="U155" s="11"/>
      <c r="V155" s="109"/>
      <c r="W155" s="109"/>
      <c r="X155" s="109"/>
      <c r="Y155" s="109"/>
    </row>
    <row r="156" spans="1:25" s="110" customFormat="1" x14ac:dyDescent="0.35">
      <c r="A156" s="12"/>
      <c r="B156" s="320" t="str">
        <f>IF(T156="Kirjoita tähän mitä tehdään","Valaisimet *Rakennusselostus puuttuu","Valaisimet")</f>
        <v>Valaisimet</v>
      </c>
      <c r="C156" s="321"/>
      <c r="D156" s="175"/>
      <c r="E156" s="176"/>
      <c r="F156" s="176"/>
      <c r="G156" s="176"/>
      <c r="H156" s="271">
        <f t="shared" si="4"/>
        <v>0</v>
      </c>
      <c r="I156" s="176"/>
      <c r="J156" s="176"/>
      <c r="K156" s="176"/>
      <c r="L156" s="271">
        <f t="shared" si="5"/>
        <v>0</v>
      </c>
      <c r="M156" s="147"/>
      <c r="N156" s="184"/>
      <c r="O156" s="176"/>
      <c r="P156" s="177">
        <f t="shared" si="11"/>
        <v>0</v>
      </c>
      <c r="Q156" s="280"/>
      <c r="R156" s="185"/>
      <c r="S156" s="115">
        <f t="shared" si="10"/>
        <v>0</v>
      </c>
      <c r="T156" s="146" t="str" cm="1">
        <f t="array" ref="T156">IF(S156:S156=0,"Ei toimenpiteitä","Kirjoita tähän mitä tehdään")</f>
        <v>Ei toimenpiteitä</v>
      </c>
      <c r="U156" s="11"/>
      <c r="V156" s="109"/>
      <c r="W156" s="109"/>
      <c r="X156" s="109"/>
      <c r="Y156" s="109"/>
    </row>
    <row r="157" spans="1:25" s="110" customFormat="1" x14ac:dyDescent="0.35">
      <c r="A157" s="12"/>
      <c r="B157" s="320" t="str">
        <f>IF(T157="Kirjoita tähän mitä tehdään","Tietoliikennekaapelit ja laitekaapit *Rakennusselostus puuttuu","Tietoliikennekaapelit ja laitekaapit")</f>
        <v>Tietoliikennekaapelit ja laitekaapit</v>
      </c>
      <c r="C157" s="321"/>
      <c r="D157" s="175"/>
      <c r="E157" s="176"/>
      <c r="F157" s="176"/>
      <c r="G157" s="176"/>
      <c r="H157" s="271">
        <f t="shared" si="4"/>
        <v>0</v>
      </c>
      <c r="I157" s="176"/>
      <c r="J157" s="176"/>
      <c r="K157" s="176"/>
      <c r="L157" s="271">
        <f t="shared" si="5"/>
        <v>0</v>
      </c>
      <c r="M157" s="147"/>
      <c r="N157" s="184"/>
      <c r="O157" s="176"/>
      <c r="P157" s="177">
        <f t="shared" si="11"/>
        <v>0</v>
      </c>
      <c r="Q157" s="280"/>
      <c r="R157" s="185"/>
      <c r="S157" s="115">
        <f t="shared" si="10"/>
        <v>0</v>
      </c>
      <c r="T157" s="146" t="str" cm="1">
        <f t="array" ref="T157">IF(S157:S157=0,"Ei toimenpiteitä","Kirjoita tähän mitä tehdään")</f>
        <v>Ei toimenpiteitä</v>
      </c>
      <c r="U157" s="11"/>
      <c r="V157" s="109"/>
      <c r="W157" s="109"/>
      <c r="X157" s="109"/>
      <c r="Y157" s="109"/>
    </row>
    <row r="158" spans="1:25" s="110" customFormat="1" x14ac:dyDescent="0.35">
      <c r="A158" s="12"/>
      <c r="B158" s="328" t="str">
        <f>IF(T158="Kirjoita tähän mitä tehdään","Automaatiojärjestelmä *Rakennusselostus puuttuu","Automaatiojärjestelmä")</f>
        <v>Automaatiojärjestelmä</v>
      </c>
      <c r="C158" s="329"/>
      <c r="D158" s="175"/>
      <c r="E158" s="176"/>
      <c r="F158" s="176"/>
      <c r="G158" s="176"/>
      <c r="H158" s="271">
        <f t="shared" si="4"/>
        <v>0</v>
      </c>
      <c r="I158" s="176"/>
      <c r="J158" s="176"/>
      <c r="K158" s="176"/>
      <c r="L158" s="271">
        <f t="shared" si="5"/>
        <v>0</v>
      </c>
      <c r="M158" s="147"/>
      <c r="N158" s="184"/>
      <c r="O158" s="176"/>
      <c r="P158" s="177">
        <f t="shared" si="11"/>
        <v>0</v>
      </c>
      <c r="Q158" s="280"/>
      <c r="R158" s="185"/>
      <c r="S158" s="115">
        <f t="shared" si="10"/>
        <v>0</v>
      </c>
      <c r="T158" s="146" t="str" cm="1">
        <f t="array" ref="T158">IF(S158:S158=0,"Ei toimenpiteitä","Kirjoita tähän mitä tehdään")</f>
        <v>Ei toimenpiteitä</v>
      </c>
      <c r="U158" s="11"/>
      <c r="V158" s="109"/>
      <c r="W158" s="109"/>
      <c r="X158" s="109"/>
      <c r="Y158" s="109"/>
    </row>
    <row r="159" spans="1:25" x14ac:dyDescent="0.35">
      <c r="A159" s="10" t="s">
        <v>110</v>
      </c>
      <c r="B159" s="27"/>
      <c r="C159" s="9"/>
      <c r="D159" s="145"/>
      <c r="E159" s="156"/>
      <c r="F159" s="156"/>
      <c r="G159" s="156"/>
      <c r="H159" s="156"/>
      <c r="I159" s="156"/>
      <c r="J159" s="156"/>
      <c r="K159" s="156"/>
      <c r="L159" s="155"/>
      <c r="M159" s="157"/>
      <c r="N159" s="158"/>
      <c r="O159" s="156"/>
      <c r="P159" s="156"/>
      <c r="Q159" s="156"/>
      <c r="R159" s="252"/>
      <c r="S159" s="115">
        <f t="shared" si="10"/>
        <v>0</v>
      </c>
      <c r="T159" s="161"/>
      <c r="U159" s="11"/>
      <c r="V159" s="1"/>
      <c r="W159" s="1"/>
      <c r="X159" s="1"/>
      <c r="Y159" s="1"/>
    </row>
    <row r="160" spans="1:25" s="110" customFormat="1" x14ac:dyDescent="0.35">
      <c r="A160" s="12"/>
      <c r="B160" s="318" t="str">
        <f>IF(T160="Kirjoita tähän mitä tehdään","Energiakaivon poraaminen *Rakennusselostus puuttuu","Energiakaivon poraaminen")</f>
        <v>Energiakaivon poraaminen</v>
      </c>
      <c r="C160" s="325"/>
      <c r="D160" s="175"/>
      <c r="E160" s="176"/>
      <c r="F160" s="176"/>
      <c r="G160" s="176"/>
      <c r="H160" s="271">
        <f t="shared" si="4"/>
        <v>0</v>
      </c>
      <c r="I160" s="176"/>
      <c r="J160" s="176"/>
      <c r="K160" s="176"/>
      <c r="L160" s="271">
        <f t="shared" si="5"/>
        <v>0</v>
      </c>
      <c r="M160" s="147"/>
      <c r="N160" s="184"/>
      <c r="O160" s="176"/>
      <c r="P160" s="177">
        <f t="shared" si="11"/>
        <v>0</v>
      </c>
      <c r="Q160" s="280"/>
      <c r="R160" s="185"/>
      <c r="S160" s="115">
        <f t="shared" si="10"/>
        <v>0</v>
      </c>
      <c r="T160" s="146" t="str" cm="1">
        <f t="array" ref="T160">IF(S160:S160=0,"Ei toimenpiteitä","Kirjoita tähän mitä tehdään")</f>
        <v>Ei toimenpiteitä</v>
      </c>
      <c r="U160" s="11"/>
      <c r="V160" s="109"/>
      <c r="W160" s="109"/>
      <c r="X160" s="109"/>
      <c r="Y160" s="109"/>
    </row>
    <row r="161" spans="1:25" s="110" customFormat="1" x14ac:dyDescent="0.35">
      <c r="A161" s="12"/>
      <c r="B161" s="320" t="str">
        <f>IF(T161="Kirjoita tähän mitä tehdään","Maalämmön keruuputkistot ja maalämpöpumppu *Rakennusselostus puuttuu","Maalämmön keruuputkistot ja maalämpöpumppu")</f>
        <v>Maalämmön keruuputkistot ja maalämpöpumppu</v>
      </c>
      <c r="C161" s="321"/>
      <c r="D161" s="175"/>
      <c r="E161" s="176"/>
      <c r="F161" s="176"/>
      <c r="G161" s="176"/>
      <c r="H161" s="271">
        <f t="shared" si="4"/>
        <v>0</v>
      </c>
      <c r="I161" s="176"/>
      <c r="J161" s="176"/>
      <c r="K161" s="176"/>
      <c r="L161" s="271">
        <f t="shared" si="5"/>
        <v>0</v>
      </c>
      <c r="M161" s="147"/>
      <c r="N161" s="184"/>
      <c r="O161" s="176"/>
      <c r="P161" s="177">
        <f t="shared" si="11"/>
        <v>0</v>
      </c>
      <c r="Q161" s="280"/>
      <c r="R161" s="185"/>
      <c r="S161" s="115">
        <f t="shared" si="10"/>
        <v>0</v>
      </c>
      <c r="T161" s="146" t="str" cm="1">
        <f t="array" ref="T161">IF(S161:S161=0,"Ei toimenpiteitä","Kirjoita tähän mitä tehdään")</f>
        <v>Ei toimenpiteitä</v>
      </c>
      <c r="U161" s="11"/>
      <c r="V161" s="109"/>
      <c r="W161" s="109"/>
      <c r="X161" s="109"/>
      <c r="Y161" s="109"/>
    </row>
    <row r="162" spans="1:25" s="110" customFormat="1" x14ac:dyDescent="0.35">
      <c r="A162" s="12"/>
      <c r="B162" s="320" t="str">
        <f>IF(T162="Kirjoita tähän mitä tehdään","Ilma-vesi lämpöpumppu asennettuna *Rakennusselostus puuttuu","Ilma-vesi lämpöpumppu asennettuna")</f>
        <v>Ilma-vesi lämpöpumppu asennettuna</v>
      </c>
      <c r="C162" s="321"/>
      <c r="D162" s="175"/>
      <c r="E162" s="176"/>
      <c r="F162" s="176"/>
      <c r="G162" s="176"/>
      <c r="H162" s="271">
        <f t="shared" si="4"/>
        <v>0</v>
      </c>
      <c r="I162" s="176"/>
      <c r="J162" s="176"/>
      <c r="K162" s="176"/>
      <c r="L162" s="271">
        <f t="shared" si="5"/>
        <v>0</v>
      </c>
      <c r="M162" s="147"/>
      <c r="N162" s="184"/>
      <c r="O162" s="176"/>
      <c r="P162" s="177">
        <f t="shared" si="11"/>
        <v>0</v>
      </c>
      <c r="Q162" s="280"/>
      <c r="R162" s="185"/>
      <c r="S162" s="115">
        <f t="shared" si="10"/>
        <v>0</v>
      </c>
      <c r="T162" s="146" t="str" cm="1">
        <f t="array" ref="T162">IF(S162:S162=0,"Ei toimenpiteitä","Kirjoita tähän mitä tehdään")</f>
        <v>Ei toimenpiteitä</v>
      </c>
      <c r="U162" s="11"/>
      <c r="V162" s="109"/>
      <c r="W162" s="109"/>
      <c r="X162" s="109"/>
      <c r="Y162" s="109"/>
    </row>
    <row r="163" spans="1:25" s="110" customFormat="1" x14ac:dyDescent="0.35">
      <c r="A163" s="12"/>
      <c r="B163" s="320" t="str">
        <f>IF(T163="Kirjoita tähän mitä tehdään","Ilmalämpöpumppu asennettuna *Rakennusselostus puuttuu","Ilmalämpöpumppu asennettuna")</f>
        <v>Ilmalämpöpumppu asennettuna</v>
      </c>
      <c r="C163" s="321"/>
      <c r="D163" s="175"/>
      <c r="E163" s="176"/>
      <c r="F163" s="176"/>
      <c r="G163" s="176"/>
      <c r="H163" s="271">
        <f t="shared" si="4"/>
        <v>0</v>
      </c>
      <c r="I163" s="176"/>
      <c r="J163" s="176"/>
      <c r="K163" s="176"/>
      <c r="L163" s="271">
        <f t="shared" si="5"/>
        <v>0</v>
      </c>
      <c r="M163" s="147"/>
      <c r="N163" s="184"/>
      <c r="O163" s="176"/>
      <c r="P163" s="177">
        <f t="shared" si="11"/>
        <v>0</v>
      </c>
      <c r="Q163" s="280"/>
      <c r="R163" s="185"/>
      <c r="S163" s="115">
        <f t="shared" si="10"/>
        <v>0</v>
      </c>
      <c r="T163" s="146" t="str" cm="1">
        <f t="array" ref="T163">IF(S163:S163=0,"Ei toimenpiteitä","Kirjoita tähän mitä tehdään")</f>
        <v>Ei toimenpiteitä</v>
      </c>
      <c r="U163" s="11"/>
      <c r="V163" s="109"/>
      <c r="W163" s="109"/>
      <c r="X163" s="109"/>
      <c r="Y163" s="109"/>
    </row>
    <row r="164" spans="1:25" s="110" customFormat="1" x14ac:dyDescent="0.35">
      <c r="A164" s="12"/>
      <c r="B164" s="320" t="str">
        <f>IF(T164="Kirjoita tähän mitä tehdään","Aurinkolämmitysjärjestelmä asennettuna *Rakennusselostus puuttuu","Aurinkolämmitysjärjestelmä asennettuna")</f>
        <v>Aurinkolämmitysjärjestelmä asennettuna</v>
      </c>
      <c r="C164" s="321"/>
      <c r="D164" s="175"/>
      <c r="E164" s="176"/>
      <c r="F164" s="176"/>
      <c r="G164" s="176"/>
      <c r="H164" s="271">
        <f t="shared" si="4"/>
        <v>0</v>
      </c>
      <c r="I164" s="176"/>
      <c r="J164" s="176"/>
      <c r="K164" s="176"/>
      <c r="L164" s="271">
        <f t="shared" si="5"/>
        <v>0</v>
      </c>
      <c r="M164" s="147"/>
      <c r="N164" s="184"/>
      <c r="O164" s="176"/>
      <c r="P164" s="177">
        <f t="shared" si="11"/>
        <v>0</v>
      </c>
      <c r="Q164" s="280"/>
      <c r="R164" s="185"/>
      <c r="S164" s="115">
        <f t="shared" si="10"/>
        <v>0</v>
      </c>
      <c r="T164" s="146" t="str" cm="1">
        <f t="array" ref="T164">IF(S164:S164=0,"Ei toimenpiteitä","Kirjoita tähän mitä tehdään")</f>
        <v>Ei toimenpiteitä</v>
      </c>
      <c r="U164" s="11"/>
      <c r="V164" s="109"/>
      <c r="W164" s="109"/>
      <c r="X164" s="109"/>
      <c r="Y164" s="109"/>
    </row>
    <row r="165" spans="1:25" s="110" customFormat="1" x14ac:dyDescent="0.35">
      <c r="A165" s="12"/>
      <c r="B165" s="320" t="str">
        <f>IF(T165="Kirjoita tähän mitä tehdään","Aurinkopaneelit asennettuna *Rakennusselostus puuttuu","Aurinkopaneelit asennettuna")</f>
        <v>Aurinkopaneelit asennettuna</v>
      </c>
      <c r="C165" s="321"/>
      <c r="D165" s="175"/>
      <c r="E165" s="176"/>
      <c r="F165" s="176"/>
      <c r="G165" s="176"/>
      <c r="H165" s="271">
        <f t="shared" si="4"/>
        <v>0</v>
      </c>
      <c r="I165" s="176"/>
      <c r="J165" s="176"/>
      <c r="K165" s="176"/>
      <c r="L165" s="271">
        <f t="shared" si="5"/>
        <v>0</v>
      </c>
      <c r="M165" s="147"/>
      <c r="N165" s="184"/>
      <c r="O165" s="176"/>
      <c r="P165" s="177">
        <f t="shared" si="11"/>
        <v>0</v>
      </c>
      <c r="Q165" s="280"/>
      <c r="R165" s="185"/>
      <c r="S165" s="115">
        <f t="shared" si="10"/>
        <v>0</v>
      </c>
      <c r="T165" s="146" t="str" cm="1">
        <f t="array" ref="T165">IF(S165:S165=0,"Ei toimenpiteitä","Kirjoita tähän mitä tehdään")</f>
        <v>Ei toimenpiteitä</v>
      </c>
      <c r="U165" s="11"/>
      <c r="V165" s="109"/>
      <c r="W165" s="109"/>
      <c r="X165" s="109"/>
      <c r="Y165" s="109"/>
    </row>
    <row r="166" spans="1:25" s="110" customFormat="1" x14ac:dyDescent="0.35">
      <c r="A166" s="12"/>
      <c r="B166" s="320" t="str">
        <f>IF(T166="Kirjoita tähän mitä tehdään","Pientuulivoimalan rakentaminen alle 50 kW *Rakennusselostus puuttuu","Pientuulivoimalan rakentaminen alle 50 kW")</f>
        <v>Pientuulivoimalan rakentaminen alle 50 kW</v>
      </c>
      <c r="C166" s="321"/>
      <c r="D166" s="175"/>
      <c r="E166" s="176"/>
      <c r="F166" s="176"/>
      <c r="G166" s="176"/>
      <c r="H166" s="271">
        <f t="shared" si="4"/>
        <v>0</v>
      </c>
      <c r="I166" s="176"/>
      <c r="J166" s="176"/>
      <c r="K166" s="176"/>
      <c r="L166" s="271">
        <f t="shared" si="5"/>
        <v>0</v>
      </c>
      <c r="M166" s="147"/>
      <c r="N166" s="184"/>
      <c r="O166" s="176"/>
      <c r="P166" s="177">
        <f t="shared" si="11"/>
        <v>0</v>
      </c>
      <c r="Q166" s="280"/>
      <c r="R166" s="185"/>
      <c r="S166" s="115">
        <f t="shared" si="10"/>
        <v>0</v>
      </c>
      <c r="T166" s="146" t="str" cm="1">
        <f t="array" ref="T166">IF(S166:S166=0,"Ei toimenpiteitä","Kirjoita tähän mitä tehdään")</f>
        <v>Ei toimenpiteitä</v>
      </c>
      <c r="U166" s="11"/>
      <c r="V166" s="109"/>
      <c r="W166" s="109"/>
      <c r="X166" s="109"/>
      <c r="Y166" s="109"/>
    </row>
    <row r="167" spans="1:25" s="110" customFormat="1" x14ac:dyDescent="0.35">
      <c r="A167" s="12"/>
      <c r="B167" s="188" t="str">
        <f>IF(T167="Kirjoita tähän mitä tehdään","Muu energiakorjaus: *Rakennusselostus puuttuu","Muu energiakorjaus:")</f>
        <v>Muu energiakorjaus:</v>
      </c>
      <c r="C167" s="299"/>
      <c r="D167" s="175"/>
      <c r="E167" s="176"/>
      <c r="F167" s="176"/>
      <c r="G167" s="176"/>
      <c r="H167" s="271">
        <f t="shared" si="4"/>
        <v>0</v>
      </c>
      <c r="I167" s="176"/>
      <c r="J167" s="176"/>
      <c r="K167" s="176"/>
      <c r="L167" s="271">
        <f t="shared" si="5"/>
        <v>0</v>
      </c>
      <c r="M167" s="147"/>
      <c r="N167" s="184"/>
      <c r="O167" s="176"/>
      <c r="P167" s="177">
        <f t="shared" si="11"/>
        <v>0</v>
      </c>
      <c r="Q167" s="280"/>
      <c r="R167" s="185"/>
      <c r="S167" s="115">
        <f t="shared" si="10"/>
        <v>0</v>
      </c>
      <c r="T167" s="146" t="str" cm="1">
        <f t="array" ref="T167">IF(S167:S167=0,"Ei toimenpiteitä","Kirjoita tähän mitä tehdään")</f>
        <v>Ei toimenpiteitä</v>
      </c>
      <c r="U167" s="11"/>
      <c r="V167" s="109"/>
      <c r="W167" s="109"/>
      <c r="X167" s="109"/>
      <c r="Y167" s="109"/>
    </row>
    <row r="168" spans="1:25" s="114" customFormat="1" x14ac:dyDescent="0.35">
      <c r="A168" s="44" t="s">
        <v>171</v>
      </c>
      <c r="B168" s="51"/>
      <c r="C168" s="51"/>
      <c r="D168" s="273"/>
      <c r="E168" s="152"/>
      <c r="F168" s="46"/>
      <c r="G168" s="152"/>
      <c r="H168" s="152"/>
      <c r="I168" s="152"/>
      <c r="J168" s="152"/>
      <c r="K168" s="152"/>
      <c r="L168" s="149"/>
      <c r="M168" s="147"/>
      <c r="N168" s="150"/>
      <c r="O168" s="151"/>
      <c r="P168" s="151"/>
      <c r="Q168" s="288"/>
      <c r="R168" s="153"/>
      <c r="S168" s="115">
        <f t="shared" si="10"/>
        <v>0</v>
      </c>
      <c r="T168" s="159"/>
      <c r="U168" s="11"/>
      <c r="V168" s="113"/>
      <c r="W168" s="113"/>
    </row>
    <row r="169" spans="1:25" s="110" customFormat="1" x14ac:dyDescent="0.35">
      <c r="A169" s="12"/>
      <c r="B169" s="318" t="str">
        <f>IF(T169="Kirjoita tähän mitä tehdään","Työmaa-aikainen energia *Rakennusselostus puuttuu","Työmaa-aikainen energia")</f>
        <v>Työmaa-aikainen energia</v>
      </c>
      <c r="C169" s="325"/>
      <c r="D169" s="239"/>
      <c r="E169" s="256"/>
      <c r="F169" s="256"/>
      <c r="G169" s="256"/>
      <c r="H169" s="274">
        <f t="shared" si="4"/>
        <v>0</v>
      </c>
      <c r="I169" s="256"/>
      <c r="J169" s="256"/>
      <c r="K169" s="256"/>
      <c r="L169" s="274">
        <f t="shared" si="5"/>
        <v>0</v>
      </c>
      <c r="M169" s="147"/>
      <c r="N169" s="184"/>
      <c r="O169" s="176"/>
      <c r="P169" s="177">
        <f t="shared" si="11"/>
        <v>0</v>
      </c>
      <c r="Q169" s="280"/>
      <c r="R169" s="185"/>
      <c r="S169" s="115">
        <f t="shared" si="10"/>
        <v>0</v>
      </c>
      <c r="T169" s="146" t="str" cm="1">
        <f t="array" ref="T169">IF(S169:S169=0,"Ei toimenpiteitä","Kirjoita tähän mitä tehdään")</f>
        <v>Ei toimenpiteitä</v>
      </c>
      <c r="U169" s="11"/>
      <c r="V169" s="109"/>
      <c r="W169" s="109"/>
      <c r="X169" s="109"/>
      <c r="Y169" s="109"/>
    </row>
    <row r="170" spans="1:25" s="110" customFormat="1" x14ac:dyDescent="0.35">
      <c r="A170" s="12"/>
      <c r="B170" s="320" t="str">
        <f>IF(T170="Kirjoita tähän mitä tehdään","Työmaan vastaava työnjohtaja *Rakennusselostus puuttuu","Työmaan vastaava työnjohtaja")</f>
        <v>Työmaan vastaava työnjohtaja</v>
      </c>
      <c r="C170" s="321"/>
      <c r="D170" s="175"/>
      <c r="E170" s="176"/>
      <c r="F170" s="176"/>
      <c r="G170" s="176"/>
      <c r="H170" s="271">
        <f t="shared" ref="H170:H179" si="12">E170*G170</f>
        <v>0</v>
      </c>
      <c r="I170" s="176"/>
      <c r="J170" s="176"/>
      <c r="K170" s="176"/>
      <c r="L170" s="271">
        <f t="shared" ref="L170:L179" si="13">H170+I170+(J170*K170)</f>
        <v>0</v>
      </c>
      <c r="M170" s="147"/>
      <c r="N170" s="184"/>
      <c r="O170" s="176"/>
      <c r="P170" s="177">
        <f t="shared" si="11"/>
        <v>0</v>
      </c>
      <c r="Q170" s="280"/>
      <c r="R170" s="185"/>
      <c r="S170" s="115">
        <f t="shared" si="10"/>
        <v>0</v>
      </c>
      <c r="T170" s="146" t="str" cm="1">
        <f t="array" ref="T170">IF(S170:S170=0,"Ei toimenpiteitä","Kirjoita tähän mitä tehdään")</f>
        <v>Ei toimenpiteitä</v>
      </c>
      <c r="U170" s="11"/>
      <c r="V170" s="109"/>
      <c r="W170" s="109"/>
      <c r="X170" s="109"/>
      <c r="Y170" s="109"/>
    </row>
    <row r="171" spans="1:25" s="110" customFormat="1" x14ac:dyDescent="0.35">
      <c r="A171" s="12"/>
      <c r="B171" s="320" t="str">
        <f>IF(T171="Kirjoita tähän mitä tehdään","Nostot *Rakennusselostus puuttuu","Nostot")</f>
        <v>Nostot</v>
      </c>
      <c r="C171" s="321"/>
      <c r="D171" s="175"/>
      <c r="E171" s="176"/>
      <c r="F171" s="176"/>
      <c r="G171" s="176"/>
      <c r="H171" s="271">
        <f t="shared" si="12"/>
        <v>0</v>
      </c>
      <c r="I171" s="176"/>
      <c r="J171" s="176"/>
      <c r="K171" s="176"/>
      <c r="L171" s="271">
        <f t="shared" si="13"/>
        <v>0</v>
      </c>
      <c r="M171" s="147"/>
      <c r="N171" s="184"/>
      <c r="O171" s="176"/>
      <c r="P171" s="177">
        <f t="shared" si="11"/>
        <v>0</v>
      </c>
      <c r="Q171" s="280"/>
      <c r="R171" s="185"/>
      <c r="S171" s="115">
        <f t="shared" si="10"/>
        <v>0</v>
      </c>
      <c r="T171" s="146" t="str" cm="1">
        <f t="array" ref="T171">IF(S171:S171=0,"Ei toimenpiteitä","Kirjoita tähän mitä tehdään")</f>
        <v>Ei toimenpiteitä</v>
      </c>
      <c r="U171" s="11"/>
      <c r="V171" s="109"/>
      <c r="W171" s="109"/>
      <c r="X171" s="109"/>
      <c r="Y171" s="109"/>
    </row>
    <row r="172" spans="1:25" s="110" customFormat="1" x14ac:dyDescent="0.35">
      <c r="A172" s="12"/>
      <c r="B172" s="320" t="str">
        <f>IF(T172="Kirjoita tähän mitä tehdään","Siirrot *Rakennusselostus puuttuu","Siirrot")</f>
        <v>Siirrot</v>
      </c>
      <c r="C172" s="321"/>
      <c r="D172" s="175"/>
      <c r="E172" s="176"/>
      <c r="F172" s="176"/>
      <c r="G172" s="176"/>
      <c r="H172" s="271">
        <f t="shared" si="12"/>
        <v>0</v>
      </c>
      <c r="I172" s="176"/>
      <c r="J172" s="176"/>
      <c r="K172" s="176"/>
      <c r="L172" s="271">
        <f t="shared" si="13"/>
        <v>0</v>
      </c>
      <c r="M172" s="147"/>
      <c r="N172" s="184"/>
      <c r="O172" s="176"/>
      <c r="P172" s="177">
        <f t="shared" si="11"/>
        <v>0</v>
      </c>
      <c r="Q172" s="280"/>
      <c r="R172" s="185"/>
      <c r="S172" s="115">
        <f t="shared" si="10"/>
        <v>0</v>
      </c>
      <c r="T172" s="146" t="str" cm="1">
        <f t="array" ref="T172">IF(S172:S172=0,"Ei toimenpiteitä","Kirjoita tähän mitä tehdään")</f>
        <v>Ei toimenpiteitä</v>
      </c>
      <c r="U172" s="11"/>
      <c r="V172" s="109"/>
      <c r="W172" s="109"/>
      <c r="X172" s="109"/>
      <c r="Y172" s="109"/>
    </row>
    <row r="173" spans="1:25" s="110" customFormat="1" x14ac:dyDescent="0.35">
      <c r="A173" s="12"/>
      <c r="B173" s="320" t="str">
        <f>IF(T173="Kirjoita tähän mitä tehdään","Telineet *Rakennusselostus puuttuu","Telineet")</f>
        <v>Telineet</v>
      </c>
      <c r="C173" s="321"/>
      <c r="D173" s="175"/>
      <c r="E173" s="176"/>
      <c r="F173" s="176"/>
      <c r="G173" s="176"/>
      <c r="H173" s="271">
        <f t="shared" si="12"/>
        <v>0</v>
      </c>
      <c r="I173" s="176"/>
      <c r="J173" s="176"/>
      <c r="K173" s="176"/>
      <c r="L173" s="271">
        <f t="shared" si="13"/>
        <v>0</v>
      </c>
      <c r="M173" s="147"/>
      <c r="N173" s="184"/>
      <c r="O173" s="176"/>
      <c r="P173" s="177">
        <f t="shared" si="11"/>
        <v>0</v>
      </c>
      <c r="Q173" s="280"/>
      <c r="R173" s="185"/>
      <c r="S173" s="115">
        <f t="shared" si="10"/>
        <v>0</v>
      </c>
      <c r="T173" s="146" t="str" cm="1">
        <f t="array" ref="T173">IF(S173:S173=0,"Ei toimenpiteitä","Kirjoita tähän mitä tehdään")</f>
        <v>Ei toimenpiteitä</v>
      </c>
      <c r="U173" s="11"/>
      <c r="V173" s="109"/>
      <c r="W173" s="109"/>
      <c r="X173" s="109"/>
      <c r="Y173" s="109"/>
    </row>
    <row r="174" spans="1:25" s="110" customFormat="1" x14ac:dyDescent="0.35">
      <c r="A174" s="12"/>
      <c r="B174" s="320" t="str">
        <f>IF(T174="Kirjoita tähän mitä tehdään","Työmaa-aikainen sosiaalitila ja työmaatoimisto *Rakennusselostus puuttuu","Työmaa-aikainen sosiaalitila ja työmaatoimisto")</f>
        <v>Työmaa-aikainen sosiaalitila ja työmaatoimisto</v>
      </c>
      <c r="C174" s="321"/>
      <c r="D174" s="175"/>
      <c r="E174" s="176"/>
      <c r="F174" s="176"/>
      <c r="G174" s="176"/>
      <c r="H174" s="271">
        <f t="shared" si="12"/>
        <v>0</v>
      </c>
      <c r="I174" s="176"/>
      <c r="J174" s="176"/>
      <c r="K174" s="176"/>
      <c r="L174" s="271">
        <f t="shared" si="13"/>
        <v>0</v>
      </c>
      <c r="M174" s="147"/>
      <c r="N174" s="184"/>
      <c r="O174" s="176"/>
      <c r="P174" s="177">
        <f t="shared" si="11"/>
        <v>0</v>
      </c>
      <c r="Q174" s="280"/>
      <c r="R174" s="185"/>
      <c r="S174" s="115">
        <f t="shared" si="10"/>
        <v>0</v>
      </c>
      <c r="T174" s="146" t="str" cm="1">
        <f t="array" ref="T174">IF(S174:S174=0,"Ei toimenpiteitä","Kirjoita tähän mitä tehdään")</f>
        <v>Ei toimenpiteitä</v>
      </c>
      <c r="U174" s="11"/>
      <c r="V174" s="109"/>
      <c r="W174" s="109"/>
      <c r="X174" s="109"/>
      <c r="Y174" s="109"/>
    </row>
    <row r="175" spans="1:25" s="110" customFormat="1" x14ac:dyDescent="0.35">
      <c r="A175" s="12"/>
      <c r="B175" s="320" t="str">
        <f>IF(T175="Kirjoita tähän mitä tehdään","Talkootarjoilu kustannukset *Rakennusselostus puuttuu","Talkootarjoilu kustannukset")</f>
        <v>Talkootarjoilu kustannukset</v>
      </c>
      <c r="C175" s="321"/>
      <c r="D175" s="175"/>
      <c r="E175" s="176"/>
      <c r="F175" s="176"/>
      <c r="G175" s="176"/>
      <c r="H175" s="271">
        <f t="shared" si="12"/>
        <v>0</v>
      </c>
      <c r="I175" s="176"/>
      <c r="J175" s="176"/>
      <c r="K175" s="176"/>
      <c r="L175" s="271">
        <f t="shared" si="13"/>
        <v>0</v>
      </c>
      <c r="M175" s="147"/>
      <c r="N175" s="184"/>
      <c r="O175" s="176"/>
      <c r="P175" s="177">
        <f t="shared" si="11"/>
        <v>0</v>
      </c>
      <c r="Q175" s="280"/>
      <c r="R175" s="185"/>
      <c r="S175" s="115">
        <f t="shared" si="10"/>
        <v>0</v>
      </c>
      <c r="T175" s="146" t="str" cm="1">
        <f t="array" ref="T175">IF(S175:S175=0,"Ei toimenpiteitä","Kirjoita tähän mitä tehdään")</f>
        <v>Ei toimenpiteitä</v>
      </c>
      <c r="U175" s="11"/>
      <c r="V175" s="109"/>
      <c r="W175" s="109"/>
      <c r="X175" s="109"/>
      <c r="Y175" s="109"/>
    </row>
    <row r="176" spans="1:25" s="110" customFormat="1" x14ac:dyDescent="0.35">
      <c r="A176" s="12"/>
      <c r="B176" s="188" t="str">
        <f>IF(T176="Kirjoita tähän mitä tehdään","Muu tuote tai palvelu: *Rakennusselostus puuttuu","Muu tuote tai palvelu:")</f>
        <v>Muu tuote tai palvelu:</v>
      </c>
      <c r="C176" s="299"/>
      <c r="D176" s="175"/>
      <c r="E176" s="176"/>
      <c r="F176" s="176"/>
      <c r="G176" s="176"/>
      <c r="H176" s="271">
        <f t="shared" si="12"/>
        <v>0</v>
      </c>
      <c r="I176" s="176"/>
      <c r="J176" s="176"/>
      <c r="K176" s="176"/>
      <c r="L176" s="271">
        <f t="shared" si="13"/>
        <v>0</v>
      </c>
      <c r="M176" s="147"/>
      <c r="N176" s="184"/>
      <c r="O176" s="176"/>
      <c r="P176" s="177">
        <f t="shared" si="11"/>
        <v>0</v>
      </c>
      <c r="Q176" s="280"/>
      <c r="R176" s="185"/>
      <c r="S176" s="115">
        <f t="shared" si="10"/>
        <v>0</v>
      </c>
      <c r="T176" s="146" t="str" cm="1">
        <f t="array" ref="T176">IF(S176:S176=0,"Ei toimenpiteitä","Kirjoita tähän mitä tehdään")</f>
        <v>Ei toimenpiteitä</v>
      </c>
      <c r="U176" s="11"/>
      <c r="V176" s="109"/>
      <c r="W176" s="109"/>
      <c r="X176" s="109"/>
      <c r="Y176" s="109"/>
    </row>
    <row r="177" spans="1:25" s="110" customFormat="1" x14ac:dyDescent="0.35">
      <c r="A177" s="12"/>
      <c r="B177" s="188" t="str">
        <f>IF(T177="Kirjoita tähän mitä tehdään","Muu tuote tai palvelu: *Rakennusselostus puuttuu","Muu tuote tai palvelu:")</f>
        <v>Muu tuote tai palvelu:</v>
      </c>
      <c r="C177" s="300"/>
      <c r="D177" s="175"/>
      <c r="E177" s="176"/>
      <c r="F177" s="176"/>
      <c r="G177" s="176"/>
      <c r="H177" s="271">
        <f t="shared" si="12"/>
        <v>0</v>
      </c>
      <c r="I177" s="176"/>
      <c r="J177" s="176"/>
      <c r="K177" s="176"/>
      <c r="L177" s="271">
        <f t="shared" si="13"/>
        <v>0</v>
      </c>
      <c r="M177" s="147"/>
      <c r="N177" s="184"/>
      <c r="O177" s="176"/>
      <c r="P177" s="177">
        <f t="shared" si="11"/>
        <v>0</v>
      </c>
      <c r="Q177" s="280"/>
      <c r="R177" s="185"/>
      <c r="S177" s="115">
        <f t="shared" si="10"/>
        <v>0</v>
      </c>
      <c r="T177" s="146" t="str" cm="1">
        <f t="array" ref="T177">IF(S177:S177=0,"Ei toimenpiteitä","Kirjoita tähän mitä tehdään")</f>
        <v>Ei toimenpiteitä</v>
      </c>
      <c r="U177" s="11"/>
      <c r="V177" s="109"/>
      <c r="W177" s="109"/>
      <c r="X177" s="109"/>
      <c r="Y177" s="109"/>
    </row>
    <row r="178" spans="1:25" s="110" customFormat="1" x14ac:dyDescent="0.35">
      <c r="A178" s="12"/>
      <c r="B178" s="188" t="str">
        <f>IF(T178="Kirjoita tähän mitä tehdään","Muu tuote tai palvelu: *Rakennusselostus puuttuu","Muu tuote tai palvelu:")</f>
        <v>Muu tuote tai palvelu:</v>
      </c>
      <c r="C178" s="300"/>
      <c r="D178" s="175"/>
      <c r="E178" s="176"/>
      <c r="F178" s="176"/>
      <c r="G178" s="176"/>
      <c r="H178" s="271">
        <f t="shared" si="12"/>
        <v>0</v>
      </c>
      <c r="I178" s="176"/>
      <c r="J178" s="176"/>
      <c r="K178" s="176"/>
      <c r="L178" s="271">
        <f t="shared" si="13"/>
        <v>0</v>
      </c>
      <c r="M178" s="147"/>
      <c r="N178" s="184"/>
      <c r="O178" s="176"/>
      <c r="P178" s="177">
        <f t="shared" si="11"/>
        <v>0</v>
      </c>
      <c r="Q178" s="280"/>
      <c r="R178" s="185"/>
      <c r="S178" s="115">
        <f t="shared" si="10"/>
        <v>0</v>
      </c>
      <c r="T178" s="146" t="str" cm="1">
        <f t="array" ref="T178">IF(S178:S178=0,"Ei toimenpiteitä","Kirjoita tähän mitä tehdään")</f>
        <v>Ei toimenpiteitä</v>
      </c>
      <c r="U178" s="11"/>
      <c r="V178" s="109"/>
      <c r="W178" s="109"/>
      <c r="X178" s="109"/>
      <c r="Y178" s="109"/>
    </row>
    <row r="179" spans="1:25" s="110" customFormat="1" ht="15" thickBot="1" x14ac:dyDescent="0.4">
      <c r="A179" s="12"/>
      <c r="B179" s="310" t="str">
        <f>IF(T179="Kirjoita tähän mitä tehdään","Muu tuote tai palvelu: *Rakennusselostus puuttuu","Muu tuote tai palvelu:")</f>
        <v>Muu tuote tai palvelu:</v>
      </c>
      <c r="C179" s="302"/>
      <c r="D179" s="179"/>
      <c r="E179" s="180"/>
      <c r="F179" s="180"/>
      <c r="G179" s="180"/>
      <c r="H179" s="275">
        <f t="shared" si="12"/>
        <v>0</v>
      </c>
      <c r="I179" s="180"/>
      <c r="J179" s="180"/>
      <c r="K179" s="180"/>
      <c r="L179" s="275">
        <f t="shared" si="13"/>
        <v>0</v>
      </c>
      <c r="M179" s="147"/>
      <c r="N179" s="186"/>
      <c r="O179" s="180"/>
      <c r="P179" s="208">
        <f t="shared" si="11"/>
        <v>0</v>
      </c>
      <c r="Q179" s="281"/>
      <c r="R179" s="187"/>
      <c r="S179" s="115">
        <f t="shared" si="10"/>
        <v>0</v>
      </c>
      <c r="T179" s="146" t="str" cm="1">
        <f t="array" ref="T179">IF(S179:S179=0,"Ei toimenpiteitä","Kirjoita tähän mitä tehdään")</f>
        <v>Ei toimenpiteitä</v>
      </c>
      <c r="U179" s="11"/>
      <c r="V179" s="109"/>
      <c r="W179" s="109"/>
      <c r="X179" s="109"/>
      <c r="Y179" s="109"/>
    </row>
    <row r="180" spans="1:25" ht="15" collapsed="1" thickTop="1" x14ac:dyDescent="0.35">
      <c r="A180" s="11"/>
      <c r="B180" s="33"/>
      <c r="C180" s="33"/>
      <c r="D180" s="1"/>
      <c r="E180" s="1"/>
      <c r="F180" s="1"/>
      <c r="G180" s="126" t="s">
        <v>239</v>
      </c>
      <c r="H180" s="124">
        <f>SUM(H22:H179)</f>
        <v>0</v>
      </c>
      <c r="I180" s="1"/>
      <c r="J180" s="1"/>
      <c r="K180" s="236" t="s">
        <v>242</v>
      </c>
      <c r="L180" s="213">
        <f>SUM(L8:L179)</f>
        <v>0</v>
      </c>
      <c r="N180" s="116">
        <f>SUM(N22:N179)</f>
        <v>0</v>
      </c>
      <c r="O180" s="116">
        <f>SUM(O22:O179)</f>
        <v>0</v>
      </c>
      <c r="P180" s="121">
        <f>SUM(P8:P179)</f>
        <v>0</v>
      </c>
      <c r="Q180" s="1"/>
      <c r="R180" s="1"/>
      <c r="T180" s="1"/>
      <c r="U180" s="1"/>
      <c r="V180" s="1"/>
      <c r="W180" s="1"/>
      <c r="X180" s="1"/>
      <c r="Y180" s="1"/>
    </row>
    <row r="181" spans="1:25" x14ac:dyDescent="0.35">
      <c r="A181" s="11"/>
      <c r="B181" s="33"/>
      <c r="C181" s="33"/>
      <c r="D181" s="1"/>
      <c r="E181" s="1"/>
      <c r="F181" s="1"/>
      <c r="G181" s="1"/>
      <c r="H181" s="1"/>
      <c r="I181" s="1"/>
      <c r="K181" s="1"/>
      <c r="L181" s="1"/>
      <c r="N181" s="127" t="s">
        <v>234</v>
      </c>
      <c r="O181" s="127" t="s">
        <v>234</v>
      </c>
      <c r="P181" s="126" t="s">
        <v>235</v>
      </c>
      <c r="Q181" s="1"/>
      <c r="R181" s="1"/>
      <c r="T181" s="1"/>
      <c r="U181" s="1"/>
      <c r="V181" s="1"/>
      <c r="W181" s="1"/>
      <c r="X181" s="1"/>
      <c r="Y181" s="1"/>
    </row>
    <row r="182" spans="1:25" x14ac:dyDescent="0.35">
      <c r="A182" s="11"/>
      <c r="B182" s="33"/>
      <c r="C182" s="33"/>
      <c r="D182" s="1"/>
      <c r="E182" s="1"/>
      <c r="F182" s="1"/>
      <c r="G182" s="1"/>
      <c r="H182" s="1"/>
      <c r="Q182" s="1"/>
      <c r="R182" s="1"/>
      <c r="T182" s="1"/>
      <c r="U182" s="1"/>
      <c r="V182" s="1"/>
      <c r="W182" s="1"/>
      <c r="X182" s="1"/>
      <c r="Y182" s="1"/>
    </row>
    <row r="183" spans="1:25" x14ac:dyDescent="0.35">
      <c r="A183" s="11"/>
      <c r="B183" s="33"/>
      <c r="C183" s="33"/>
      <c r="F183" s="1"/>
      <c r="G183" s="1"/>
      <c r="H183" s="1"/>
      <c r="I183" s="193" t="s">
        <v>112</v>
      </c>
      <c r="N183" s="1"/>
      <c r="O183" s="1"/>
      <c r="P183" s="1"/>
      <c r="Q183" s="1"/>
      <c r="R183" s="1"/>
      <c r="T183" s="1"/>
      <c r="U183" s="1"/>
      <c r="V183" s="1"/>
      <c r="W183" s="1"/>
      <c r="X183" s="1"/>
      <c r="Y183" s="1"/>
    </row>
    <row r="184" spans="1:25" x14ac:dyDescent="0.35">
      <c r="A184" s="11"/>
      <c r="B184" s="8" t="s">
        <v>240</v>
      </c>
      <c r="C184" s="8"/>
      <c r="F184" s="1"/>
      <c r="G184" s="1"/>
      <c r="H184" s="1"/>
      <c r="I184" s="204"/>
      <c r="J184" s="196" t="s">
        <v>253</v>
      </c>
      <c r="K184" s="201">
        <v>0.65</v>
      </c>
      <c r="L184" s="18">
        <f>L187*K184</f>
        <v>0</v>
      </c>
      <c r="P184" s="1"/>
      <c r="Q184" s="1"/>
      <c r="R184" s="1"/>
      <c r="T184" s="1"/>
      <c r="U184" s="1"/>
      <c r="V184" s="1"/>
      <c r="W184" s="1"/>
      <c r="X184" s="1"/>
      <c r="Y184" s="1"/>
    </row>
    <row r="185" spans="1:25" x14ac:dyDescent="0.35">
      <c r="A185" s="11"/>
      <c r="B185" s="8" t="s">
        <v>241</v>
      </c>
      <c r="C185" s="8"/>
      <c r="F185" s="1"/>
      <c r="G185" s="1"/>
      <c r="I185" s="204"/>
      <c r="J185" s="196" t="s">
        <v>254</v>
      </c>
      <c r="K185" s="201">
        <v>0</v>
      </c>
      <c r="L185" s="202">
        <f>L187*K185</f>
        <v>0</v>
      </c>
      <c r="P185" s="1"/>
      <c r="R185" s="1"/>
      <c r="T185" s="1"/>
      <c r="U185" s="1"/>
      <c r="V185" s="1"/>
      <c r="W185" s="1"/>
      <c r="X185" s="1"/>
      <c r="Y185" s="1"/>
    </row>
    <row r="186" spans="1:25" x14ac:dyDescent="0.35">
      <c r="A186" s="11"/>
      <c r="B186" s="8"/>
      <c r="C186" s="8"/>
      <c r="F186" s="1"/>
      <c r="G186" s="1"/>
      <c r="I186" s="204"/>
      <c r="J186" s="196" t="s">
        <v>136</v>
      </c>
      <c r="K186" s="201">
        <v>0.35</v>
      </c>
      <c r="L186" s="285">
        <f>L187*K186</f>
        <v>0</v>
      </c>
      <c r="N186" s="16">
        <f>L186</f>
        <v>0</v>
      </c>
      <c r="O186" s="205" t="s">
        <v>255</v>
      </c>
      <c r="R186" s="1"/>
      <c r="T186" s="1"/>
      <c r="U186" s="1"/>
      <c r="V186" s="1"/>
      <c r="W186" s="1"/>
      <c r="X186" s="1"/>
      <c r="Y186" s="1"/>
    </row>
    <row r="187" spans="1:25" ht="16.5" x14ac:dyDescent="0.35">
      <c r="A187" s="11"/>
      <c r="B187" s="8" t="s">
        <v>29</v>
      </c>
      <c r="C187" s="8"/>
      <c r="D187" s="1"/>
      <c r="E187" s="1"/>
      <c r="F187" s="194"/>
      <c r="G187" s="1"/>
      <c r="I187" s="163"/>
      <c r="J187" s="236" t="s">
        <v>114</v>
      </c>
      <c r="K187" s="283">
        <f>SUM(K184:K186)</f>
        <v>1</v>
      </c>
      <c r="L187" s="20">
        <f>L180+P180</f>
        <v>0</v>
      </c>
      <c r="N187" s="203">
        <f>P180</f>
        <v>0</v>
      </c>
      <c r="O187" s="205" t="s">
        <v>256</v>
      </c>
      <c r="R187" s="1"/>
      <c r="T187" s="1"/>
      <c r="U187" s="1"/>
      <c r="V187" s="1"/>
      <c r="W187" s="1"/>
      <c r="X187" s="1"/>
      <c r="Y187" s="1"/>
    </row>
    <row r="188" spans="1:25" ht="16.5" x14ac:dyDescent="0.35">
      <c r="A188" s="11"/>
      <c r="B188" s="8" t="s">
        <v>30</v>
      </c>
      <c r="C188" s="8"/>
      <c r="D188" s="1"/>
      <c r="E188" s="1"/>
      <c r="F188" s="1"/>
      <c r="G188" s="1"/>
      <c r="H188" s="1"/>
      <c r="I188" s="1"/>
      <c r="J188" s="1"/>
      <c r="K188" s="1"/>
      <c r="L188" s="1"/>
      <c r="N188" s="169">
        <f>N186-N187</f>
        <v>0</v>
      </c>
      <c r="O188" s="206" t="s">
        <v>257</v>
      </c>
      <c r="Q188" s="1"/>
      <c r="R188" s="1"/>
      <c r="T188" s="1"/>
      <c r="U188" s="1"/>
      <c r="V188" s="1"/>
      <c r="W188" s="1"/>
      <c r="X188" s="1"/>
      <c r="Y188" s="1"/>
    </row>
    <row r="189" spans="1:25" x14ac:dyDescent="0.35">
      <c r="A189" s="11"/>
      <c r="B189" s="36" t="s">
        <v>236</v>
      </c>
      <c r="C189" s="36"/>
      <c r="H189" s="1"/>
      <c r="I189" s="1"/>
      <c r="J189" s="1"/>
      <c r="K189" s="1"/>
      <c r="L189" s="1"/>
      <c r="N189" s="1"/>
      <c r="O189" s="1"/>
      <c r="P189" s="1"/>
      <c r="Q189" s="1"/>
      <c r="R189" s="1"/>
      <c r="T189" s="1"/>
      <c r="U189" s="1"/>
      <c r="V189" s="1"/>
      <c r="W189" s="1"/>
      <c r="X189" s="1"/>
      <c r="Y189" s="1"/>
    </row>
    <row r="190" spans="1:25" x14ac:dyDescent="0.35">
      <c r="A190" s="11"/>
      <c r="B190" s="8" t="s">
        <v>31</v>
      </c>
      <c r="C190" s="8"/>
      <c r="H190" s="143" t="s">
        <v>133</v>
      </c>
      <c r="I190" s="1"/>
      <c r="N190" s="1"/>
      <c r="O190" s="1"/>
      <c r="P190" s="1"/>
      <c r="Q190" s="1"/>
      <c r="R190" s="1"/>
      <c r="T190" s="1"/>
      <c r="U190" s="1"/>
      <c r="V190" s="1"/>
      <c r="W190" s="1"/>
      <c r="X190" s="1"/>
      <c r="Y190" s="1"/>
    </row>
    <row r="191" spans="1:25" x14ac:dyDescent="0.35">
      <c r="A191" s="11"/>
      <c r="B191" s="8" t="s">
        <v>32</v>
      </c>
      <c r="C191" s="8"/>
      <c r="H191" s="199" t="s">
        <v>137</v>
      </c>
      <c r="I191" s="195"/>
      <c r="J191" s="197"/>
      <c r="K191" s="200"/>
      <c r="L191" s="198">
        <f>L184</f>
        <v>0</v>
      </c>
      <c r="N191" s="1"/>
      <c r="O191" s="1"/>
      <c r="P191" s="1"/>
      <c r="Q191" s="1"/>
      <c r="R191" s="1"/>
      <c r="T191" s="1"/>
      <c r="U191" s="1"/>
      <c r="V191" s="1"/>
      <c r="W191" s="1"/>
      <c r="X191" s="1"/>
      <c r="Y191" s="1"/>
    </row>
    <row r="192" spans="1:25" x14ac:dyDescent="0.35">
      <c r="A192" s="11"/>
      <c r="B192" s="8" t="s">
        <v>33</v>
      </c>
      <c r="C192" s="8"/>
      <c r="H192" s="199" t="s">
        <v>138</v>
      </c>
      <c r="I192" s="195"/>
      <c r="J192" s="197"/>
      <c r="K192" s="200"/>
      <c r="L192" s="207">
        <f>L185</f>
        <v>0</v>
      </c>
      <c r="N192" s="1"/>
      <c r="O192" s="1"/>
      <c r="P192" s="1"/>
      <c r="Q192" s="1"/>
      <c r="R192" s="1"/>
      <c r="T192" s="1"/>
      <c r="U192" s="1"/>
      <c r="V192" s="1"/>
      <c r="W192" s="1"/>
      <c r="X192" s="1"/>
      <c r="Y192" s="1"/>
    </row>
    <row r="193" spans="1:25" x14ac:dyDescent="0.35">
      <c r="A193" s="11"/>
      <c r="B193" s="8" t="s">
        <v>34</v>
      </c>
      <c r="C193" s="8"/>
      <c r="H193" s="199" t="s">
        <v>143</v>
      </c>
      <c r="I193" s="195"/>
      <c r="J193" s="197"/>
      <c r="K193" s="200"/>
      <c r="L193" s="118">
        <f>SUM(L191:L192)</f>
        <v>0</v>
      </c>
      <c r="N193" s="1"/>
      <c r="O193" s="1"/>
      <c r="P193" s="1"/>
      <c r="Q193" s="1"/>
      <c r="R193" s="1"/>
      <c r="T193" s="1"/>
      <c r="U193" s="1"/>
      <c r="V193" s="1"/>
      <c r="W193" s="1"/>
      <c r="X193" s="1"/>
      <c r="Y193" s="1"/>
    </row>
    <row r="194" spans="1:25" x14ac:dyDescent="0.35">
      <c r="A194" s="11"/>
      <c r="B194" s="8" t="s">
        <v>35</v>
      </c>
      <c r="C194" s="8"/>
      <c r="H194" s="199" t="s">
        <v>139</v>
      </c>
      <c r="I194" s="195"/>
      <c r="J194" s="197"/>
      <c r="K194" s="200"/>
      <c r="L194" s="118">
        <f>N188</f>
        <v>0</v>
      </c>
      <c r="N194" s="1"/>
      <c r="O194" s="1"/>
      <c r="P194" s="1"/>
      <c r="Q194" s="1"/>
      <c r="R194" s="1"/>
      <c r="T194" s="1"/>
      <c r="U194" s="1"/>
      <c r="V194" s="1"/>
      <c r="W194" s="1"/>
      <c r="X194" s="1"/>
      <c r="Y194" s="1"/>
    </row>
    <row r="195" spans="1:25" x14ac:dyDescent="0.35">
      <c r="A195" s="11"/>
      <c r="B195" s="8" t="s">
        <v>36</v>
      </c>
      <c r="C195" s="8"/>
      <c r="H195" s="199" t="s">
        <v>140</v>
      </c>
      <c r="I195" s="195"/>
      <c r="J195" s="197"/>
      <c r="K195" s="200"/>
      <c r="L195" s="207">
        <f>N187</f>
        <v>0</v>
      </c>
      <c r="N195" s="1"/>
      <c r="O195" s="1"/>
      <c r="P195" s="1"/>
      <c r="Q195" s="1"/>
      <c r="R195" s="1"/>
      <c r="T195" s="1"/>
      <c r="U195" s="1"/>
      <c r="V195" s="1"/>
      <c r="W195" s="1"/>
      <c r="X195" s="1"/>
      <c r="Y195" s="1"/>
    </row>
    <row r="196" spans="1:25" x14ac:dyDescent="0.35">
      <c r="A196" s="11"/>
      <c r="B196" s="8" t="s">
        <v>37</v>
      </c>
      <c r="C196" s="8"/>
      <c r="H196" s="199" t="s">
        <v>144</v>
      </c>
      <c r="I196" s="195"/>
      <c r="J196" s="197"/>
      <c r="K196" s="200"/>
      <c r="L196" s="119">
        <f>SUM(L194:L195)</f>
        <v>0</v>
      </c>
      <c r="N196" s="1"/>
      <c r="O196" s="1"/>
      <c r="P196" s="1"/>
      <c r="Q196" s="1"/>
      <c r="R196" s="1"/>
      <c r="T196" s="1"/>
      <c r="U196" s="1"/>
      <c r="V196" s="1"/>
      <c r="W196" s="1"/>
      <c r="X196" s="1"/>
      <c r="Y196" s="1"/>
    </row>
    <row r="197" spans="1:25" x14ac:dyDescent="0.35">
      <c r="A197" s="11"/>
      <c r="B197" s="140"/>
      <c r="C197" s="140"/>
      <c r="H197" s="199" t="s">
        <v>141</v>
      </c>
      <c r="I197" s="195"/>
      <c r="J197" s="197"/>
      <c r="K197" s="200"/>
      <c r="L197" s="118">
        <f>L191+L192+L194+L195</f>
        <v>0</v>
      </c>
      <c r="N197" s="1"/>
      <c r="O197" s="1"/>
      <c r="P197" s="1"/>
      <c r="Q197" s="1"/>
      <c r="R197" s="1"/>
      <c r="T197" s="1"/>
      <c r="U197" s="1"/>
      <c r="V197" s="1"/>
      <c r="W197" s="1"/>
      <c r="X197" s="1"/>
      <c r="Y197" s="1"/>
    </row>
    <row r="198" spans="1:25" x14ac:dyDescent="0.35">
      <c r="A198" s="11"/>
      <c r="B198" s="33"/>
      <c r="C198" s="33"/>
      <c r="H198" s="199" t="s">
        <v>145</v>
      </c>
      <c r="I198" s="195"/>
      <c r="J198" s="197"/>
      <c r="K198" s="200"/>
      <c r="L198" s="35"/>
      <c r="N198" s="1"/>
      <c r="O198" s="1"/>
      <c r="P198" s="1"/>
      <c r="Q198" s="1"/>
      <c r="R198" s="1"/>
      <c r="T198" s="1"/>
      <c r="U198" s="1"/>
      <c r="V198" s="1"/>
      <c r="W198" s="1"/>
      <c r="X198" s="1"/>
      <c r="Y198" s="1"/>
    </row>
    <row r="199" spans="1:25" x14ac:dyDescent="0.35">
      <c r="A199" s="11"/>
      <c r="B199" s="8"/>
      <c r="C199" s="8"/>
      <c r="D199" s="1"/>
      <c r="E199" s="1"/>
      <c r="F199" s="1"/>
      <c r="G199" s="1"/>
      <c r="H199" s="199" t="s">
        <v>142</v>
      </c>
      <c r="I199" s="195"/>
      <c r="J199" s="197"/>
      <c r="K199" s="200"/>
      <c r="L199" s="120">
        <f>L197-L198</f>
        <v>0</v>
      </c>
      <c r="N199" s="1"/>
      <c r="O199" s="1"/>
      <c r="P199" s="1"/>
      <c r="Q199" s="1"/>
      <c r="R199" s="1"/>
      <c r="T199" s="1"/>
      <c r="U199" s="1"/>
      <c r="V199" s="1"/>
      <c r="W199" s="1"/>
      <c r="X199" s="1"/>
      <c r="Y199" s="1"/>
    </row>
    <row r="200" spans="1:25" x14ac:dyDescent="0.35">
      <c r="A200" s="11"/>
      <c r="B200" s="8"/>
      <c r="C200" s="8"/>
      <c r="D200" s="1"/>
      <c r="E200" s="1"/>
      <c r="F200" s="1"/>
      <c r="G200" s="1"/>
      <c r="H200" s="1"/>
      <c r="I200" s="1"/>
      <c r="J200" s="1"/>
      <c r="K200" s="1"/>
      <c r="L200" s="1"/>
      <c r="N200" s="1"/>
      <c r="O200" s="1"/>
      <c r="P200" s="1"/>
      <c r="Q200" s="1"/>
      <c r="T200" s="1"/>
      <c r="U200" s="1"/>
      <c r="V200" s="1"/>
      <c r="W200" s="1"/>
      <c r="X200" s="1"/>
      <c r="Y200" s="1"/>
    </row>
    <row r="201" spans="1:25" x14ac:dyDescent="0.35">
      <c r="A201" s="11"/>
      <c r="B201" s="8"/>
      <c r="C201" s="8"/>
      <c r="D201" s="1"/>
      <c r="E201" s="1"/>
      <c r="F201" s="1"/>
      <c r="G201" s="1"/>
      <c r="H201" s="1"/>
      <c r="I201" s="1"/>
      <c r="J201" s="1"/>
      <c r="K201" s="1"/>
      <c r="L201" s="1"/>
      <c r="N201" s="1"/>
      <c r="O201" s="1"/>
      <c r="P201" s="1"/>
      <c r="Q201" s="1"/>
      <c r="T201" s="1"/>
      <c r="U201" s="1"/>
      <c r="V201" s="1"/>
      <c r="W201" s="1"/>
      <c r="X201" s="1"/>
      <c r="Y201" s="1"/>
    </row>
    <row r="202" spans="1:25" x14ac:dyDescent="0.35">
      <c r="A202" s="11"/>
      <c r="B202" s="8"/>
      <c r="C202" s="8"/>
      <c r="D202" s="1"/>
      <c r="E202" s="1"/>
      <c r="F202" s="1"/>
      <c r="G202" s="1"/>
      <c r="H202" s="1"/>
      <c r="I202" s="1"/>
      <c r="J202" s="1"/>
      <c r="K202" s="1"/>
      <c r="L202" s="1"/>
      <c r="N202" s="1"/>
      <c r="O202" s="1"/>
      <c r="P202" s="1"/>
      <c r="Q202" s="1"/>
      <c r="T202" s="1"/>
      <c r="U202" s="1"/>
      <c r="V202" s="1"/>
      <c r="W202" s="1"/>
      <c r="X202" s="1"/>
      <c r="Y202" s="1"/>
    </row>
    <row r="203" spans="1:25" x14ac:dyDescent="0.35">
      <c r="A203" s="11"/>
      <c r="B203" s="33"/>
      <c r="C203" s="33"/>
      <c r="D203" s="1"/>
      <c r="E203" s="1"/>
      <c r="F203" s="1"/>
      <c r="G203" s="1"/>
      <c r="H203" s="1"/>
      <c r="I203" s="1"/>
      <c r="J203" s="1"/>
      <c r="K203" s="1"/>
      <c r="L203" s="1"/>
      <c r="N203" s="1"/>
      <c r="O203" s="1"/>
      <c r="P203" s="1"/>
      <c r="Q203" s="1"/>
      <c r="T203" s="1"/>
      <c r="U203" s="1"/>
      <c r="V203" s="1"/>
      <c r="W203" s="1"/>
      <c r="X203" s="1"/>
      <c r="Y203" s="1"/>
    </row>
    <row r="204" spans="1:25" x14ac:dyDescent="0.35">
      <c r="A204" s="11"/>
      <c r="B204" s="33"/>
      <c r="C204" s="33"/>
      <c r="D204" s="1"/>
      <c r="E204" s="1"/>
      <c r="F204" s="1"/>
      <c r="G204" s="1"/>
      <c r="H204" s="1"/>
      <c r="I204" s="1"/>
      <c r="J204" s="1"/>
      <c r="K204" s="1"/>
      <c r="L204" s="1"/>
      <c r="N204" s="1"/>
      <c r="O204" s="1"/>
      <c r="P204" s="1"/>
      <c r="Q204" s="1"/>
      <c r="T204" s="1"/>
      <c r="U204" s="1"/>
      <c r="V204" s="1"/>
      <c r="W204" s="1"/>
      <c r="X204" s="1"/>
      <c r="Y204" s="1"/>
    </row>
    <row r="205" spans="1:25" x14ac:dyDescent="0.35">
      <c r="A205" s="1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N205" s="1"/>
      <c r="O205" s="1"/>
      <c r="P205" s="1"/>
      <c r="Q205" s="1"/>
      <c r="T205" s="1"/>
      <c r="U205" s="1"/>
      <c r="V205" s="1"/>
      <c r="W205" s="1"/>
      <c r="X205" s="1"/>
      <c r="Y205" s="1"/>
    </row>
    <row r="206" spans="1:25" x14ac:dyDescent="0.35">
      <c r="A206" s="1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N206" s="1"/>
      <c r="O206" s="1"/>
      <c r="P206" s="1"/>
      <c r="Q206" s="1"/>
      <c r="T206" s="1"/>
      <c r="U206" s="1"/>
      <c r="V206" s="1"/>
      <c r="W206" s="1"/>
      <c r="X206" s="1"/>
      <c r="Y206" s="1"/>
    </row>
    <row r="207" spans="1:25" x14ac:dyDescent="0.35">
      <c r="A207" s="1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N207" s="1"/>
      <c r="O207" s="1"/>
      <c r="P207" s="1"/>
      <c r="Q207" s="1"/>
      <c r="T207" s="1"/>
      <c r="U207" s="1"/>
      <c r="V207" s="1"/>
      <c r="W207" s="1"/>
      <c r="X207" s="1"/>
      <c r="Y207" s="1"/>
    </row>
    <row r="208" spans="1:25" x14ac:dyDescent="0.35">
      <c r="A208" s="1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N208" s="1"/>
      <c r="O208" s="1"/>
      <c r="P208" s="1"/>
      <c r="Q208" s="1"/>
      <c r="T208" s="1"/>
      <c r="U208" s="1"/>
      <c r="V208" s="1"/>
      <c r="W208" s="1"/>
      <c r="X208" s="1"/>
      <c r="Y208" s="1"/>
    </row>
    <row r="209" spans="1:25" x14ac:dyDescent="0.35">
      <c r="A209" s="1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N209" s="1"/>
      <c r="O209" s="1"/>
      <c r="P209" s="1"/>
      <c r="Q209" s="1"/>
      <c r="T209" s="1"/>
      <c r="U209" s="1"/>
      <c r="V209" s="1"/>
      <c r="W209" s="1"/>
      <c r="X209" s="1"/>
      <c r="Y209" s="1"/>
    </row>
    <row r="210" spans="1:25" x14ac:dyDescent="0.35">
      <c r="A210" s="1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N210" s="1"/>
      <c r="O210" s="1"/>
      <c r="P210" s="1"/>
      <c r="Q210" s="1"/>
      <c r="T210" s="1"/>
      <c r="U210" s="1"/>
      <c r="V210" s="1"/>
      <c r="W210" s="1"/>
      <c r="X210" s="1"/>
      <c r="Y210" s="1"/>
    </row>
    <row r="211" spans="1:25" x14ac:dyDescent="0.35">
      <c r="A211" s="1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N211" s="1"/>
      <c r="O211" s="1"/>
      <c r="P211" s="1"/>
      <c r="Q211" s="1"/>
      <c r="T211" s="1"/>
      <c r="U211" s="1"/>
      <c r="V211" s="1"/>
      <c r="W211" s="1"/>
      <c r="X211" s="1"/>
      <c r="Y211" s="1"/>
    </row>
    <row r="212" spans="1:25" ht="8.5" customHeight="1" x14ac:dyDescent="0.35">
      <c r="A212" s="1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N212" s="1"/>
      <c r="O212" s="1"/>
      <c r="P212" s="1"/>
      <c r="Q212" s="1"/>
      <c r="R212" s="1"/>
      <c r="T212" s="1"/>
      <c r="U212" s="1"/>
      <c r="V212" s="1"/>
      <c r="W212" s="1"/>
      <c r="X212" s="1"/>
      <c r="Y212" s="1"/>
    </row>
    <row r="213" spans="1:25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N213" s="1"/>
      <c r="O213" s="1"/>
      <c r="P213" s="1"/>
      <c r="Q213" s="1"/>
      <c r="R213" s="1"/>
      <c r="T213" s="1"/>
      <c r="U213" s="1"/>
      <c r="V213" s="1"/>
      <c r="W213" s="1"/>
      <c r="X213" s="1"/>
      <c r="Y213" s="1"/>
    </row>
    <row r="214" spans="1:25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N214" s="1"/>
      <c r="O214" s="1"/>
      <c r="P214" s="1"/>
      <c r="Q214" s="1"/>
      <c r="R214" s="1"/>
      <c r="T214" s="1"/>
      <c r="U214" s="1"/>
      <c r="V214" s="1"/>
      <c r="W214" s="1"/>
      <c r="X214" s="1"/>
      <c r="Y214" s="1"/>
    </row>
    <row r="215" spans="1:25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N215" s="1"/>
      <c r="O215" s="1"/>
      <c r="P215" s="1"/>
      <c r="Q215" s="1"/>
      <c r="R215" s="1"/>
      <c r="T215" s="1"/>
      <c r="U215" s="1"/>
      <c r="V215" s="1"/>
      <c r="W215" s="1"/>
      <c r="X215" s="1"/>
      <c r="Y215" s="1"/>
    </row>
    <row r="216" spans="1:25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N216" s="1"/>
      <c r="O216" s="1"/>
      <c r="P216" s="1"/>
      <c r="Q216" s="1"/>
      <c r="R216" s="1"/>
      <c r="T216" s="1"/>
      <c r="U216" s="1"/>
      <c r="V216" s="1"/>
      <c r="W216" s="1"/>
      <c r="X216" s="1"/>
      <c r="Y216" s="1"/>
    </row>
    <row r="217" spans="1:25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N217" s="1"/>
      <c r="O217" s="1"/>
      <c r="P217" s="1"/>
      <c r="Q217" s="1"/>
      <c r="R217" s="1"/>
      <c r="T217" s="1"/>
      <c r="U217" s="1"/>
      <c r="V217" s="1"/>
      <c r="W217" s="1"/>
      <c r="X217" s="1"/>
      <c r="Y217" s="1"/>
    </row>
    <row r="218" spans="1:25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N218" s="1"/>
      <c r="O218" s="1"/>
      <c r="P218" s="1"/>
      <c r="Q218" s="1"/>
      <c r="R218" s="1"/>
      <c r="T218" s="1"/>
      <c r="U218" s="1"/>
      <c r="V218" s="1"/>
      <c r="W218" s="1"/>
      <c r="X218" s="1"/>
      <c r="Y218" s="1"/>
    </row>
    <row r="219" spans="1:25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N219" s="1"/>
      <c r="O219" s="1"/>
      <c r="P219" s="1"/>
      <c r="Q219" s="1"/>
      <c r="R219" s="1"/>
      <c r="T219" s="1"/>
      <c r="U219" s="1"/>
      <c r="V219" s="1"/>
      <c r="W219" s="1"/>
      <c r="X219" s="1"/>
      <c r="Y219" s="1"/>
    </row>
    <row r="220" spans="1:25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N220" s="1"/>
      <c r="O220" s="1"/>
      <c r="P220" s="1"/>
      <c r="Q220" s="1"/>
      <c r="R220" s="1"/>
      <c r="T220" s="1"/>
      <c r="U220" s="1"/>
      <c r="V220" s="1"/>
      <c r="W220" s="1"/>
      <c r="X220" s="1"/>
      <c r="Y220" s="1"/>
    </row>
    <row r="221" spans="1:25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N221" s="1"/>
      <c r="O221" s="1"/>
      <c r="P221" s="1"/>
      <c r="Q221" s="1"/>
      <c r="R221" s="1"/>
      <c r="T221" s="1"/>
      <c r="U221" s="1"/>
      <c r="V221" s="1"/>
      <c r="W221" s="1"/>
      <c r="X221" s="1"/>
      <c r="Y221" s="1"/>
    </row>
    <row r="222" spans="1:25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N222" s="1"/>
      <c r="O222" s="1"/>
      <c r="P222" s="1"/>
      <c r="Q222" s="1"/>
      <c r="R222" s="1"/>
      <c r="T222" s="1"/>
      <c r="U222" s="1"/>
      <c r="V222" s="1"/>
      <c r="W222" s="1"/>
      <c r="X222" s="1"/>
      <c r="Y222" s="1"/>
    </row>
    <row r="223" spans="1:25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N223" s="1"/>
      <c r="O223" s="1"/>
      <c r="P223" s="1"/>
      <c r="Q223" s="1"/>
      <c r="R223" s="1"/>
      <c r="T223" s="1"/>
      <c r="U223" s="1"/>
      <c r="V223" s="1"/>
      <c r="W223" s="1"/>
      <c r="X223" s="1"/>
      <c r="Y223" s="1"/>
    </row>
    <row r="224" spans="1:25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N224" s="1"/>
      <c r="O224" s="1"/>
      <c r="P224" s="1"/>
      <c r="Q224" s="1"/>
      <c r="R224" s="1"/>
      <c r="T224" s="1"/>
      <c r="U224" s="1"/>
      <c r="V224" s="1"/>
      <c r="W224" s="1"/>
      <c r="X224" s="1"/>
      <c r="Y224" s="1"/>
    </row>
    <row r="225" spans="1:25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N225" s="1"/>
      <c r="O225" s="1"/>
      <c r="P225" s="1"/>
      <c r="Q225" s="1"/>
      <c r="R225" s="1"/>
      <c r="T225" s="1"/>
      <c r="U225" s="1"/>
      <c r="V225" s="1"/>
      <c r="W225" s="1"/>
      <c r="X225" s="1"/>
      <c r="Y225" s="1"/>
    </row>
    <row r="226" spans="1:25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N226" s="1"/>
      <c r="O226" s="1"/>
      <c r="P226" s="1"/>
      <c r="Q226" s="1"/>
      <c r="R226" s="1"/>
      <c r="T226" s="1"/>
      <c r="U226" s="1"/>
      <c r="V226" s="1"/>
      <c r="W226" s="1"/>
      <c r="X226" s="1"/>
      <c r="Y226" s="1"/>
    </row>
    <row r="227" spans="1:25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N227" s="1"/>
      <c r="O227" s="1"/>
      <c r="P227" s="1"/>
      <c r="Q227" s="1"/>
      <c r="R227" s="1"/>
      <c r="T227" s="1"/>
      <c r="U227" s="1"/>
      <c r="V227" s="1"/>
      <c r="W227" s="1"/>
      <c r="X227" s="1"/>
      <c r="Y227" s="1"/>
    </row>
    <row r="228" spans="1:25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N228" s="1"/>
      <c r="O228" s="1"/>
      <c r="P228" s="1"/>
      <c r="Q228" s="1"/>
      <c r="R228" s="1"/>
      <c r="T228" s="1"/>
      <c r="U228" s="1"/>
      <c r="V228" s="1"/>
      <c r="W228" s="1"/>
      <c r="X228" s="1"/>
      <c r="Y228" s="1"/>
    </row>
    <row r="229" spans="1:25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N229" s="1"/>
      <c r="O229" s="1"/>
      <c r="P229" s="1"/>
      <c r="Q229" s="1"/>
      <c r="R229" s="1"/>
      <c r="T229" s="1"/>
      <c r="U229" s="1"/>
      <c r="V229" s="1"/>
      <c r="W229" s="1"/>
      <c r="X229" s="1"/>
      <c r="Y229" s="1"/>
    </row>
    <row r="230" spans="1:25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N230" s="1"/>
      <c r="O230" s="1"/>
      <c r="P230" s="1"/>
      <c r="Q230" s="1"/>
      <c r="R230" s="1"/>
      <c r="T230" s="1"/>
      <c r="U230" s="1"/>
      <c r="V230" s="1"/>
      <c r="W230" s="1"/>
      <c r="X230" s="1"/>
      <c r="Y230" s="1"/>
    </row>
    <row r="231" spans="1:25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N231" s="1"/>
      <c r="O231" s="1"/>
      <c r="P231" s="1"/>
      <c r="Q231" s="1"/>
      <c r="R231" s="1"/>
      <c r="T231" s="1"/>
      <c r="U231" s="1"/>
      <c r="V231" s="1"/>
      <c r="W231" s="1"/>
      <c r="X231" s="1"/>
      <c r="Y231" s="1"/>
    </row>
  </sheetData>
  <sheetProtection algorithmName="SHA-512" hashValue="sWQXHbi43sB4FMWAfAQIPa3mSezig80Kez2XWYPomJaJNA/oCgYQdqHhQlkL9F2Zojgdo6CQtOSP2vlJdgSkTA==" saltValue="Kts5ZgGGa1JFi8k5sMB5jg==" spinCount="100000" sheet="1" objects="1" scenarios="1" formatCells="0" selectLockedCells="1"/>
  <dataConsolidate/>
  <mergeCells count="137">
    <mergeCell ref="B157:C157"/>
    <mergeCell ref="B158:C158"/>
    <mergeCell ref="B160:C160"/>
    <mergeCell ref="B161:C161"/>
    <mergeCell ref="B162:C162"/>
    <mergeCell ref="B152:C152"/>
    <mergeCell ref="B153:C153"/>
    <mergeCell ref="B154:C154"/>
    <mergeCell ref="B155:C155"/>
    <mergeCell ref="B156:C156"/>
    <mergeCell ref="B175:C175"/>
    <mergeCell ref="B170:C170"/>
    <mergeCell ref="B171:C171"/>
    <mergeCell ref="B172:C172"/>
    <mergeCell ref="B173:C173"/>
    <mergeCell ref="B174:C174"/>
    <mergeCell ref="B163:C163"/>
    <mergeCell ref="B164:C164"/>
    <mergeCell ref="B165:C165"/>
    <mergeCell ref="B166:C166"/>
    <mergeCell ref="B169:C169"/>
    <mergeCell ref="B149:C149"/>
    <mergeCell ref="B150:C150"/>
    <mergeCell ref="B151:C151"/>
    <mergeCell ref="B137:C137"/>
    <mergeCell ref="B141:C141"/>
    <mergeCell ref="B142:C142"/>
    <mergeCell ref="B143:C143"/>
    <mergeCell ref="B144:C144"/>
    <mergeCell ref="B132:C132"/>
    <mergeCell ref="B133:C133"/>
    <mergeCell ref="B134:C134"/>
    <mergeCell ref="B135:C135"/>
    <mergeCell ref="B136:C136"/>
    <mergeCell ref="B147:C147"/>
    <mergeCell ref="B148:C148"/>
    <mergeCell ref="B124:C124"/>
    <mergeCell ref="B125:C125"/>
    <mergeCell ref="B126:C126"/>
    <mergeCell ref="B127:C127"/>
    <mergeCell ref="B131:C131"/>
    <mergeCell ref="B119:C119"/>
    <mergeCell ref="B120:C120"/>
    <mergeCell ref="B121:C121"/>
    <mergeCell ref="B122:C122"/>
    <mergeCell ref="B123:C123"/>
    <mergeCell ref="B114:C114"/>
    <mergeCell ref="B115:C115"/>
    <mergeCell ref="B116:C116"/>
    <mergeCell ref="B117:C117"/>
    <mergeCell ref="B118:C118"/>
    <mergeCell ref="B109:C109"/>
    <mergeCell ref="B110:C110"/>
    <mergeCell ref="B111:C111"/>
    <mergeCell ref="B112:C112"/>
    <mergeCell ref="B113:C113"/>
    <mergeCell ref="B104:C104"/>
    <mergeCell ref="B105:C105"/>
    <mergeCell ref="B106:C106"/>
    <mergeCell ref="B107:C107"/>
    <mergeCell ref="B108:C108"/>
    <mergeCell ref="B95:C95"/>
    <mergeCell ref="B98:C98"/>
    <mergeCell ref="B99:C99"/>
    <mergeCell ref="B100:C100"/>
    <mergeCell ref="B101:C101"/>
    <mergeCell ref="B90:C90"/>
    <mergeCell ref="B91:C91"/>
    <mergeCell ref="B92:C92"/>
    <mergeCell ref="B93:C93"/>
    <mergeCell ref="B94:C94"/>
    <mergeCell ref="B85:C85"/>
    <mergeCell ref="B86:C86"/>
    <mergeCell ref="B87:C87"/>
    <mergeCell ref="B88:C88"/>
    <mergeCell ref="B89:C89"/>
    <mergeCell ref="B75:C75"/>
    <mergeCell ref="B76:C76"/>
    <mergeCell ref="B79:C79"/>
    <mergeCell ref="B80:C80"/>
    <mergeCell ref="B84:C84"/>
    <mergeCell ref="B70:C70"/>
    <mergeCell ref="B71:C71"/>
    <mergeCell ref="B72:C72"/>
    <mergeCell ref="B73:C73"/>
    <mergeCell ref="B74:C74"/>
    <mergeCell ref="B63:C63"/>
    <mergeCell ref="B64:C64"/>
    <mergeCell ref="B65:C65"/>
    <mergeCell ref="B66:C66"/>
    <mergeCell ref="B67:C67"/>
    <mergeCell ref="B58:C58"/>
    <mergeCell ref="B59:C59"/>
    <mergeCell ref="B60:C60"/>
    <mergeCell ref="B61:C61"/>
    <mergeCell ref="B62:C62"/>
    <mergeCell ref="B51:C51"/>
    <mergeCell ref="B52:C52"/>
    <mergeCell ref="B53:C53"/>
    <mergeCell ref="B54:C54"/>
    <mergeCell ref="B55:C55"/>
    <mergeCell ref="B27:C27"/>
    <mergeCell ref="B28:C28"/>
    <mergeCell ref="B44:C44"/>
    <mergeCell ref="B45:C45"/>
    <mergeCell ref="B46:C46"/>
    <mergeCell ref="B47:C47"/>
    <mergeCell ref="B50:C50"/>
    <mergeCell ref="B34:C34"/>
    <mergeCell ref="B35:C35"/>
    <mergeCell ref="B36:C36"/>
    <mergeCell ref="B37:C37"/>
    <mergeCell ref="B43:C43"/>
    <mergeCell ref="N5:R5"/>
    <mergeCell ref="D5:F5"/>
    <mergeCell ref="B8:C8"/>
    <mergeCell ref="B9:C9"/>
    <mergeCell ref="B10:C10"/>
    <mergeCell ref="B81:C81"/>
    <mergeCell ref="B16:C16"/>
    <mergeCell ref="B17:C17"/>
    <mergeCell ref="B6:C6"/>
    <mergeCell ref="B22:C22"/>
    <mergeCell ref="B23:C23"/>
    <mergeCell ref="B11:C11"/>
    <mergeCell ref="B12:C12"/>
    <mergeCell ref="B13:C13"/>
    <mergeCell ref="B14:C14"/>
    <mergeCell ref="B15:C15"/>
    <mergeCell ref="B29:C29"/>
    <mergeCell ref="B30:C30"/>
    <mergeCell ref="B31:C31"/>
    <mergeCell ref="B32:C32"/>
    <mergeCell ref="B33:C33"/>
    <mergeCell ref="B24:C24"/>
    <mergeCell ref="B25:C25"/>
    <mergeCell ref="B26:C26"/>
  </mergeCells>
  <conditionalFormatting sqref="B1:C2 C3 B4:C1048576">
    <cfRule type="containsText" dxfId="12" priority="3" operator="containsText" text="*Rakennusselostus">
      <formula>NOT(ISERROR(SEARCH("*Rakennusselostus",B1)))</formula>
    </cfRule>
  </conditionalFormatting>
  <conditionalFormatting sqref="C3">
    <cfRule type="containsText" dxfId="11" priority="1" operator="containsText" text="*Tietoja puuttuu">
      <formula>NOT(ISERROR(SEARCH("*Tietoja puuttuu",C3)))</formula>
    </cfRule>
  </conditionalFormatting>
  <conditionalFormatting sqref="L196">
    <cfRule type="cellIs" dxfId="10" priority="4" operator="lessThan">
      <formula>0</formula>
    </cfRule>
  </conditionalFormatting>
  <conditionalFormatting sqref="N3:N4">
    <cfRule type="containsText" dxfId="9" priority="2" operator="containsText" text="*Valitse">
      <formula>NOT(ISERROR(SEARCH("*Valitse",N3)))</formula>
    </cfRule>
  </conditionalFormatting>
  <conditionalFormatting sqref="N187">
    <cfRule type="cellIs" dxfId="8" priority="6" operator="greaterThan">
      <formula>$N$186</formula>
    </cfRule>
  </conditionalFormatting>
  <conditionalFormatting sqref="N188">
    <cfRule type="cellIs" dxfId="7" priority="5" operator="lessThan">
      <formula>0</formula>
    </cfRule>
  </conditionalFormatting>
  <dataValidations count="3">
    <dataValidation type="list" allowBlank="1" showInputMessage="1" showErrorMessage="1" sqref="F9:F19 F22:F40 F104:F129 F169:F179 F141:F144 F131:F139 F43:F48 F50:F56 F58:F68 F70:F77 F79:F82 F84:F96 F98:F102 F148:F158 F160:F167" xr:uid="{113A4AA5-13A2-419D-9CB5-C58D9E7E9E32}">
      <formula1>$B$187:$B$196</formula1>
    </dataValidation>
    <dataValidation type="list" allowBlank="1" showInputMessage="1" showErrorMessage="1" sqref="F8" xr:uid="{D440D8B7-75C3-4188-8B42-00DA645BFE84}">
      <formula1>$B$187:$B$197</formula1>
    </dataValidation>
    <dataValidation type="list" allowBlank="1" showInputMessage="1" showErrorMessage="1" sqref="L3:L4" xr:uid="{2B73827C-8B2C-43AC-942A-E38AA0FD3E04}">
      <formula1>$B$184:$B$186</formula1>
    </dataValidation>
  </dataValidations>
  <pageMargins left="0.70866141732283472" right="0.70866141732283472" top="0.74803149606299213" bottom="0.74803149606299213" header="0.31496062992125984" footer="0.31496062992125984"/>
  <pageSetup paperSize="9" scale="26" orientation="landscape" r:id="rId1"/>
  <headerFooter>
    <oddHeader>&amp;RTulostettu &amp;D</oddHeader>
    <oddFooter>&amp;R&amp;9Lomake tuotettu Outokaira tuottamhan ry:n Vasara ja nauloja -hankkeessa</oddFooter>
  </headerFooter>
  <rowBreaks count="1" manualBreakCount="1">
    <brk id="82" max="18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75FC7A-06AB-453A-967E-C5C4F938E3F2}">
  <sheetPr>
    <tabColor rgb="FFFFFF00"/>
  </sheetPr>
  <dimension ref="A1:N206"/>
  <sheetViews>
    <sheetView showGridLines="0" zoomScaleNormal="100" zoomScaleSheetLayoutView="70" workbookViewId="0">
      <selection activeCell="C31" sqref="C31"/>
    </sheetView>
  </sheetViews>
  <sheetFormatPr defaultRowHeight="14.5" x14ac:dyDescent="0.35"/>
  <cols>
    <col min="1" max="1" width="1.1796875" customWidth="1"/>
    <col min="2" max="2" width="53.7265625" customWidth="1"/>
    <col min="3" max="3" width="27" customWidth="1"/>
    <col min="4" max="4" width="9.54296875" customWidth="1"/>
    <col min="5" max="5" width="10.453125" customWidth="1"/>
    <col min="6" max="6" width="9.81640625" customWidth="1"/>
    <col min="7" max="7" width="10.54296875" customWidth="1"/>
    <col min="8" max="9" width="10.1796875" customWidth="1"/>
    <col min="10" max="10" width="9.453125" customWidth="1"/>
    <col min="11" max="11" width="13.54296875" customWidth="1"/>
    <col min="12" max="12" width="1.453125" customWidth="1"/>
    <col min="16" max="16" width="3.453125" customWidth="1"/>
  </cols>
  <sheetData>
    <row r="1" spans="1:12" ht="5.5" customHeight="1" x14ac:dyDescent="0.3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ht="23.5" x14ac:dyDescent="0.35">
      <c r="A2" s="11"/>
      <c r="B2" s="136" t="s">
        <v>4</v>
      </c>
      <c r="C2" s="128" t="s">
        <v>2</v>
      </c>
      <c r="D2" s="330">
        <f>'Hankkeen tiedot'!D5</f>
        <v>0</v>
      </c>
      <c r="E2" s="330"/>
      <c r="F2" s="330"/>
      <c r="L2" s="11"/>
    </row>
    <row r="3" spans="1:12" x14ac:dyDescent="0.35">
      <c r="A3" s="11"/>
      <c r="B3" s="137" t="s">
        <v>223</v>
      </c>
      <c r="C3" s="128" t="s">
        <v>0</v>
      </c>
      <c r="D3" s="330">
        <f>'Hankkeen tiedot'!D6</f>
        <v>0</v>
      </c>
      <c r="E3" s="330"/>
      <c r="F3" s="330"/>
      <c r="L3" s="11"/>
    </row>
    <row r="4" spans="1:12" x14ac:dyDescent="0.35">
      <c r="A4" s="11"/>
      <c r="C4" s="128" t="s">
        <v>221</v>
      </c>
      <c r="D4" s="330">
        <f>'Hankkeen tiedot'!D7</f>
        <v>0</v>
      </c>
      <c r="E4" s="330"/>
      <c r="F4" s="330"/>
      <c r="L4" s="11"/>
    </row>
    <row r="5" spans="1:12" x14ac:dyDescent="0.35">
      <c r="A5" s="11"/>
      <c r="C5" s="128" t="s">
        <v>219</v>
      </c>
      <c r="D5" s="330">
        <f>'Hankkeen tiedot'!D8</f>
        <v>0</v>
      </c>
      <c r="E5" s="330"/>
      <c r="F5" s="330"/>
      <c r="G5" s="330"/>
      <c r="L5" s="11"/>
    </row>
    <row r="6" spans="1:12" ht="15" thickBot="1" x14ac:dyDescent="0.4">
      <c r="A6" s="11"/>
      <c r="C6" s="128" t="s">
        <v>220</v>
      </c>
      <c r="D6" s="330">
        <f>'Hankkeen tiedot'!D9</f>
        <v>0</v>
      </c>
      <c r="E6" s="330"/>
      <c r="F6" s="330"/>
      <c r="L6" s="11"/>
    </row>
    <row r="7" spans="1:12" ht="14.5" customHeight="1" thickBot="1" x14ac:dyDescent="0.4">
      <c r="A7" s="11"/>
      <c r="C7" s="128" t="s">
        <v>222</v>
      </c>
      <c r="D7" s="333">
        <f>'Hankkeen tiedot'!D10</f>
        <v>0</v>
      </c>
      <c r="E7" s="333"/>
      <c r="F7" s="333"/>
      <c r="G7" s="163"/>
      <c r="H7" s="95"/>
      <c r="I7" s="164" t="s">
        <v>6</v>
      </c>
      <c r="J7" s="165"/>
      <c r="K7" s="162">
        <f>'Kustannusarvio|Rakennusselostus'!L3</f>
        <v>0</v>
      </c>
      <c r="L7" s="11"/>
    </row>
    <row r="8" spans="1:12" ht="15" thickBot="1" x14ac:dyDescent="0.4">
      <c r="A8" s="11"/>
      <c r="D8" s="95"/>
      <c r="E8" s="95"/>
      <c r="F8" s="95"/>
      <c r="G8" s="53"/>
      <c r="H8" s="54"/>
      <c r="I8" s="164" t="s">
        <v>7</v>
      </c>
      <c r="J8" s="166"/>
      <c r="K8" s="162">
        <f>'Kustannusarvio|Rakennusselostus'!L4</f>
        <v>0</v>
      </c>
      <c r="L8" s="11"/>
    </row>
    <row r="9" spans="1:12" ht="5.5" customHeight="1" x14ac:dyDescent="0.35">
      <c r="A9" s="11"/>
      <c r="C9" s="11"/>
      <c r="D9" s="167"/>
      <c r="E9" s="167"/>
      <c r="F9" s="167"/>
      <c r="G9" s="168"/>
      <c r="H9" s="167"/>
      <c r="I9" s="11"/>
      <c r="J9" s="11"/>
      <c r="K9" s="11"/>
      <c r="L9" s="11"/>
    </row>
    <row r="10" spans="1:12" ht="31" x14ac:dyDescent="0.35">
      <c r="A10" s="11"/>
      <c r="C10" s="331" t="s">
        <v>5</v>
      </c>
      <c r="D10" s="332"/>
      <c r="E10" s="332"/>
      <c r="F10" s="56"/>
      <c r="G10" s="57"/>
      <c r="H10" s="57"/>
      <c r="I10" s="56"/>
      <c r="J10" s="57"/>
      <c r="K10" s="58"/>
      <c r="L10" s="11"/>
    </row>
    <row r="11" spans="1:12" ht="39" customHeight="1" x14ac:dyDescent="0.35">
      <c r="A11" s="12"/>
      <c r="B11" s="55" t="s">
        <v>146</v>
      </c>
      <c r="C11" s="50" t="s">
        <v>131</v>
      </c>
      <c r="D11" s="31" t="s">
        <v>8</v>
      </c>
      <c r="E11" s="31" t="s">
        <v>9</v>
      </c>
      <c r="F11" s="32" t="s">
        <v>10</v>
      </c>
      <c r="G11" s="26" t="s">
        <v>11</v>
      </c>
      <c r="H11" s="32" t="s">
        <v>12</v>
      </c>
      <c r="I11" s="32" t="s">
        <v>13</v>
      </c>
      <c r="J11" s="32" t="s">
        <v>124</v>
      </c>
      <c r="K11" s="25" t="s">
        <v>14</v>
      </c>
      <c r="L11" s="11"/>
    </row>
    <row r="12" spans="1:12" x14ac:dyDescent="0.35">
      <c r="A12" s="44" t="s">
        <v>163</v>
      </c>
      <c r="B12" s="45"/>
      <c r="C12" s="46"/>
      <c r="D12" s="46"/>
      <c r="E12" s="46"/>
      <c r="F12" s="46"/>
      <c r="G12" s="46"/>
      <c r="H12" s="46"/>
      <c r="I12" s="46"/>
      <c r="J12" s="46"/>
      <c r="K12" s="47"/>
      <c r="L12" s="11"/>
    </row>
    <row r="13" spans="1:12" x14ac:dyDescent="0.35">
      <c r="A13" s="12"/>
      <c r="B13" s="170" t="s">
        <v>164</v>
      </c>
      <c r="C13" s="175">
        <f>'Kustannusarvio|Rakennusselostus'!D8</f>
        <v>0</v>
      </c>
      <c r="D13" s="189">
        <f>'Kustannusarvio|Rakennusselostus'!E8</f>
        <v>0</v>
      </c>
      <c r="E13" s="189">
        <f>'Kustannusarvio|Rakennusselostus'!F8</f>
        <v>0</v>
      </c>
      <c r="F13" s="189">
        <f>'Kustannusarvio|Rakennusselostus'!G8</f>
        <v>0</v>
      </c>
      <c r="G13" s="191">
        <f t="shared" ref="G13:G24" si="0">D13*F13</f>
        <v>0</v>
      </c>
      <c r="H13" s="189">
        <f>'Kustannusarvio|Rakennusselostus'!I8</f>
        <v>0</v>
      </c>
      <c r="I13" s="189">
        <f>'Kustannusarvio|Rakennusselostus'!J8</f>
        <v>0</v>
      </c>
      <c r="J13" s="189">
        <f>'Kustannusarvio|Rakennusselostus'!K8</f>
        <v>0</v>
      </c>
      <c r="K13" s="191">
        <f t="shared" ref="K13:K24" si="1">G13+H13+(I13*J13)</f>
        <v>0</v>
      </c>
      <c r="L13" s="11"/>
    </row>
    <row r="14" spans="1:12" x14ac:dyDescent="0.35">
      <c r="A14" s="12"/>
      <c r="B14" s="174" t="s">
        <v>165</v>
      </c>
      <c r="C14" s="175">
        <f>'Kustannusarvio|Rakennusselostus'!D9</f>
        <v>0</v>
      </c>
      <c r="D14" s="190">
        <f>'Kustannusarvio|Rakennusselostus'!E9</f>
        <v>0</v>
      </c>
      <c r="E14" s="190">
        <f>'Kustannusarvio|Rakennusselostus'!F9</f>
        <v>0</v>
      </c>
      <c r="F14" s="190">
        <f>'Kustannusarvio|Rakennusselostus'!G9</f>
        <v>0</v>
      </c>
      <c r="G14" s="191">
        <f t="shared" si="0"/>
        <v>0</v>
      </c>
      <c r="H14" s="190">
        <f>'Kustannusarvio|Rakennusselostus'!I9</f>
        <v>0</v>
      </c>
      <c r="I14" s="190">
        <f>'Kustannusarvio|Rakennusselostus'!J9</f>
        <v>0</v>
      </c>
      <c r="J14" s="190">
        <f>'Kustannusarvio|Rakennusselostus'!K9</f>
        <v>0</v>
      </c>
      <c r="K14" s="191">
        <f t="shared" si="1"/>
        <v>0</v>
      </c>
      <c r="L14" s="11"/>
    </row>
    <row r="15" spans="1:12" x14ac:dyDescent="0.35">
      <c r="A15" s="12"/>
      <c r="B15" s="174" t="s">
        <v>166</v>
      </c>
      <c r="C15" s="175">
        <f>'Kustannusarvio|Rakennusselostus'!D10</f>
        <v>0</v>
      </c>
      <c r="D15" s="190">
        <f>'Kustannusarvio|Rakennusselostus'!E10</f>
        <v>0</v>
      </c>
      <c r="E15" s="190">
        <f>'Kustannusarvio|Rakennusselostus'!F10</f>
        <v>0</v>
      </c>
      <c r="F15" s="190">
        <f>'Kustannusarvio|Rakennusselostus'!G10</f>
        <v>0</v>
      </c>
      <c r="G15" s="191">
        <f t="shared" si="0"/>
        <v>0</v>
      </c>
      <c r="H15" s="190">
        <f>'Kustannusarvio|Rakennusselostus'!I10</f>
        <v>0</v>
      </c>
      <c r="I15" s="190">
        <f>'Kustannusarvio|Rakennusselostus'!J10</f>
        <v>0</v>
      </c>
      <c r="J15" s="190">
        <f>'Kustannusarvio|Rakennusselostus'!K10</f>
        <v>0</v>
      </c>
      <c r="K15" s="191">
        <f t="shared" si="1"/>
        <v>0</v>
      </c>
      <c r="L15" s="11"/>
    </row>
    <row r="16" spans="1:12" x14ac:dyDescent="0.35">
      <c r="A16" s="12"/>
      <c r="B16" s="174" t="s">
        <v>247</v>
      </c>
      <c r="C16" s="175">
        <f>'Kustannusarvio|Rakennusselostus'!D11</f>
        <v>0</v>
      </c>
      <c r="D16" s="190">
        <f>'Kustannusarvio|Rakennusselostus'!E11</f>
        <v>0</v>
      </c>
      <c r="E16" s="190">
        <f>'Kustannusarvio|Rakennusselostus'!F11</f>
        <v>0</v>
      </c>
      <c r="F16" s="190">
        <f>'Kustannusarvio|Rakennusselostus'!G11</f>
        <v>0</v>
      </c>
      <c r="G16" s="191">
        <f t="shared" si="0"/>
        <v>0</v>
      </c>
      <c r="H16" s="190">
        <f>'Kustannusarvio|Rakennusselostus'!I11</f>
        <v>0</v>
      </c>
      <c r="I16" s="190">
        <f>'Kustannusarvio|Rakennusselostus'!J11</f>
        <v>0</v>
      </c>
      <c r="J16" s="190">
        <f>'Kustannusarvio|Rakennusselostus'!K11</f>
        <v>0</v>
      </c>
      <c r="K16" s="191">
        <f t="shared" si="1"/>
        <v>0</v>
      </c>
      <c r="L16" s="11"/>
    </row>
    <row r="17" spans="1:12" x14ac:dyDescent="0.35">
      <c r="A17" s="12"/>
      <c r="B17" s="174" t="s">
        <v>167</v>
      </c>
      <c r="C17" s="175">
        <f>'Kustannusarvio|Rakennusselostus'!D12</f>
        <v>0</v>
      </c>
      <c r="D17" s="190">
        <f>'Kustannusarvio|Rakennusselostus'!E12</f>
        <v>0</v>
      </c>
      <c r="E17" s="190">
        <f>'Kustannusarvio|Rakennusselostus'!F12</f>
        <v>0</v>
      </c>
      <c r="F17" s="190">
        <f>'Kustannusarvio|Rakennusselostus'!G12</f>
        <v>0</v>
      </c>
      <c r="G17" s="191">
        <f t="shared" si="0"/>
        <v>0</v>
      </c>
      <c r="H17" s="190">
        <f>'Kustannusarvio|Rakennusselostus'!I12</f>
        <v>0</v>
      </c>
      <c r="I17" s="190">
        <f>'Kustannusarvio|Rakennusselostus'!J12</f>
        <v>0</v>
      </c>
      <c r="J17" s="190">
        <f>'Kustannusarvio|Rakennusselostus'!K12</f>
        <v>0</v>
      </c>
      <c r="K17" s="191">
        <f t="shared" si="1"/>
        <v>0</v>
      </c>
      <c r="L17" s="11"/>
    </row>
    <row r="18" spans="1:12" x14ac:dyDescent="0.35">
      <c r="A18" s="12"/>
      <c r="B18" s="178" t="s">
        <v>26</v>
      </c>
      <c r="C18" s="175">
        <f>'Kustannusarvio|Rakennusselostus'!D13</f>
        <v>0</v>
      </c>
      <c r="D18" s="190">
        <f>'Kustannusarvio|Rakennusselostus'!E13</f>
        <v>0</v>
      </c>
      <c r="E18" s="190">
        <f>'Kustannusarvio|Rakennusselostus'!F13</f>
        <v>0</v>
      </c>
      <c r="F18" s="190">
        <f>'Kustannusarvio|Rakennusselostus'!G13</f>
        <v>0</v>
      </c>
      <c r="G18" s="191">
        <f t="shared" si="0"/>
        <v>0</v>
      </c>
      <c r="H18" s="190">
        <f>'Kustannusarvio|Rakennusselostus'!I13</f>
        <v>0</v>
      </c>
      <c r="I18" s="190">
        <f>'Kustannusarvio|Rakennusselostus'!J13</f>
        <v>0</v>
      </c>
      <c r="J18" s="190">
        <f>'Kustannusarvio|Rakennusselostus'!K13</f>
        <v>0</v>
      </c>
      <c r="K18" s="191">
        <f t="shared" si="1"/>
        <v>0</v>
      </c>
      <c r="L18" s="11"/>
    </row>
    <row r="19" spans="1:12" x14ac:dyDescent="0.35">
      <c r="A19" s="12"/>
      <c r="B19" s="178" t="s">
        <v>27</v>
      </c>
      <c r="C19" s="175">
        <f>'Kustannusarvio|Rakennusselostus'!D14</f>
        <v>0</v>
      </c>
      <c r="D19" s="190">
        <f>'Kustannusarvio|Rakennusselostus'!E14</f>
        <v>0</v>
      </c>
      <c r="E19" s="190">
        <f>'Kustannusarvio|Rakennusselostus'!F14</f>
        <v>0</v>
      </c>
      <c r="F19" s="190">
        <f>'Kustannusarvio|Rakennusselostus'!G14</f>
        <v>0</v>
      </c>
      <c r="G19" s="191">
        <f t="shared" si="0"/>
        <v>0</v>
      </c>
      <c r="H19" s="190">
        <f>'Kustannusarvio|Rakennusselostus'!I14</f>
        <v>0</v>
      </c>
      <c r="I19" s="190">
        <f>'Kustannusarvio|Rakennusselostus'!J14</f>
        <v>0</v>
      </c>
      <c r="J19" s="190">
        <f>'Kustannusarvio|Rakennusselostus'!K14</f>
        <v>0</v>
      </c>
      <c r="K19" s="191">
        <f t="shared" si="1"/>
        <v>0</v>
      </c>
      <c r="L19" s="11"/>
    </row>
    <row r="20" spans="1:12" x14ac:dyDescent="0.35">
      <c r="A20" s="12"/>
      <c r="B20" s="178" t="s">
        <v>28</v>
      </c>
      <c r="C20" s="175">
        <f>'Kustannusarvio|Rakennusselostus'!D15</f>
        <v>0</v>
      </c>
      <c r="D20" s="190">
        <f>'Kustannusarvio|Rakennusselostus'!E15</f>
        <v>0</v>
      </c>
      <c r="E20" s="190">
        <f>'Kustannusarvio|Rakennusselostus'!F15</f>
        <v>0</v>
      </c>
      <c r="F20" s="190">
        <f>'Kustannusarvio|Rakennusselostus'!G15</f>
        <v>0</v>
      </c>
      <c r="G20" s="191">
        <f t="shared" si="0"/>
        <v>0</v>
      </c>
      <c r="H20" s="190">
        <f>'Kustannusarvio|Rakennusselostus'!I15</f>
        <v>0</v>
      </c>
      <c r="I20" s="190">
        <f>'Kustannusarvio|Rakennusselostus'!J15</f>
        <v>0</v>
      </c>
      <c r="J20" s="190">
        <f>'Kustannusarvio|Rakennusselostus'!K15</f>
        <v>0</v>
      </c>
      <c r="K20" s="191">
        <f t="shared" si="1"/>
        <v>0</v>
      </c>
      <c r="L20" s="11"/>
    </row>
    <row r="21" spans="1:12" x14ac:dyDescent="0.35">
      <c r="A21" s="12"/>
      <c r="B21" s="178" t="s">
        <v>169</v>
      </c>
      <c r="C21" s="175">
        <f>'Kustannusarvio|Rakennusselostus'!D16</f>
        <v>0</v>
      </c>
      <c r="D21" s="190">
        <f>'Kustannusarvio|Rakennusselostus'!E16</f>
        <v>0</v>
      </c>
      <c r="E21" s="190">
        <f>'Kustannusarvio|Rakennusselostus'!F16</f>
        <v>0</v>
      </c>
      <c r="F21" s="190">
        <f>'Kustannusarvio|Rakennusselostus'!G16</f>
        <v>0</v>
      </c>
      <c r="G21" s="191">
        <f t="shared" si="0"/>
        <v>0</v>
      </c>
      <c r="H21" s="190">
        <f>'Kustannusarvio|Rakennusselostus'!I16</f>
        <v>0</v>
      </c>
      <c r="I21" s="190">
        <f>'Kustannusarvio|Rakennusselostus'!J16</f>
        <v>0</v>
      </c>
      <c r="J21" s="190">
        <f>'Kustannusarvio|Rakennusselostus'!K16</f>
        <v>0</v>
      </c>
      <c r="K21" s="191">
        <f t="shared" si="1"/>
        <v>0</v>
      </c>
      <c r="L21" s="11"/>
    </row>
    <row r="22" spans="1:12" x14ac:dyDescent="0.35">
      <c r="A22" s="12"/>
      <c r="B22" s="178" t="s">
        <v>245</v>
      </c>
      <c r="C22" s="175">
        <f>'Kustannusarvio|Rakennusselostus'!D17</f>
        <v>0</v>
      </c>
      <c r="D22" s="190">
        <f>'Kustannusarvio|Rakennusselostus'!E17</f>
        <v>0</v>
      </c>
      <c r="E22" s="190">
        <f>'Kustannusarvio|Rakennusselostus'!F17</f>
        <v>0</v>
      </c>
      <c r="F22" s="190">
        <f>'Kustannusarvio|Rakennusselostus'!G17</f>
        <v>0</v>
      </c>
      <c r="G22" s="191">
        <f t="shared" si="0"/>
        <v>0</v>
      </c>
      <c r="H22" s="190">
        <f>'Kustannusarvio|Rakennusselostus'!I17</f>
        <v>0</v>
      </c>
      <c r="I22" s="190">
        <f>'Kustannusarvio|Rakennusselostus'!J17</f>
        <v>0</v>
      </c>
      <c r="J22" s="190">
        <f>'Kustannusarvio|Rakennusselostus'!K17</f>
        <v>0</v>
      </c>
      <c r="K22" s="191">
        <f t="shared" si="1"/>
        <v>0</v>
      </c>
      <c r="L22" s="11"/>
    </row>
    <row r="23" spans="1:12" x14ac:dyDescent="0.35">
      <c r="A23" s="12"/>
      <c r="B23" s="188" t="str">
        <f>SUBSTITUTE(IF('Kustannusarvio|Rakennusselostus'!C18="",'Kustannusarvio|Rakennusselostus'!B18,'Kustannusarvio|Rakennusselostus'!C18),":","")</f>
        <v>Muu maksu</v>
      </c>
      <c r="C23" s="175">
        <f>'Kustannusarvio|Rakennusselostus'!D18</f>
        <v>0</v>
      </c>
      <c r="D23" s="190">
        <f>'Kustannusarvio|Rakennusselostus'!E18</f>
        <v>0</v>
      </c>
      <c r="E23" s="190">
        <f>'Kustannusarvio|Rakennusselostus'!F18</f>
        <v>0</v>
      </c>
      <c r="F23" s="190">
        <f>'Kustannusarvio|Rakennusselostus'!G18</f>
        <v>0</v>
      </c>
      <c r="G23" s="191">
        <f t="shared" si="0"/>
        <v>0</v>
      </c>
      <c r="H23" s="190">
        <f>'Kustannusarvio|Rakennusselostus'!I18</f>
        <v>0</v>
      </c>
      <c r="I23" s="190">
        <f>'Kustannusarvio|Rakennusselostus'!J18</f>
        <v>0</v>
      </c>
      <c r="J23" s="190">
        <f>'Kustannusarvio|Rakennusselostus'!K18</f>
        <v>0</v>
      </c>
      <c r="K23" s="191">
        <f t="shared" si="1"/>
        <v>0</v>
      </c>
      <c r="L23" s="11"/>
    </row>
    <row r="24" spans="1:12" x14ac:dyDescent="0.35">
      <c r="A24" s="12"/>
      <c r="B24" s="188" t="str">
        <f>SUBSTITUTE(IF('Kustannusarvio|Rakennusselostus'!C19="",'Kustannusarvio|Rakennusselostus'!B19,'Kustannusarvio|Rakennusselostus'!C19),":","")</f>
        <v>Muu maksu</v>
      </c>
      <c r="C24" s="237">
        <f>'Kustannusarvio|Rakennusselostus'!D19</f>
        <v>0</v>
      </c>
      <c r="D24" s="238">
        <f>'Kustannusarvio|Rakennusselostus'!E19</f>
        <v>0</v>
      </c>
      <c r="E24" s="238">
        <f>'Kustannusarvio|Rakennusselostus'!F19</f>
        <v>0</v>
      </c>
      <c r="F24" s="238">
        <f>'Kustannusarvio|Rakennusselostus'!G19</f>
        <v>0</v>
      </c>
      <c r="G24" s="241">
        <f t="shared" si="0"/>
        <v>0</v>
      </c>
      <c r="H24" s="238">
        <f>'Kustannusarvio|Rakennusselostus'!I19</f>
        <v>0</v>
      </c>
      <c r="I24" s="238">
        <f>'Kustannusarvio|Rakennusselostus'!J19</f>
        <v>0</v>
      </c>
      <c r="J24" s="238">
        <f>'Kustannusarvio|Rakennusselostus'!K19</f>
        <v>0</v>
      </c>
      <c r="K24" s="241">
        <f t="shared" si="1"/>
        <v>0</v>
      </c>
      <c r="L24" s="11"/>
    </row>
    <row r="25" spans="1:12" x14ac:dyDescent="0.35">
      <c r="A25" s="44" t="s">
        <v>168</v>
      </c>
      <c r="B25" s="51"/>
      <c r="C25" s="290"/>
      <c r="D25" s="46"/>
      <c r="E25" s="46"/>
      <c r="F25" s="46"/>
      <c r="G25" s="243"/>
      <c r="H25" s="249"/>
      <c r="I25" s="249"/>
      <c r="J25" s="249"/>
      <c r="K25" s="250"/>
      <c r="L25" s="11"/>
    </row>
    <row r="26" spans="1:12" x14ac:dyDescent="0.35">
      <c r="A26" s="10" t="s">
        <v>200</v>
      </c>
      <c r="B26" s="27"/>
      <c r="C26" s="291"/>
      <c r="D26" s="245"/>
      <c r="E26" s="246"/>
      <c r="F26" s="245"/>
      <c r="G26" s="248"/>
      <c r="H26" s="245"/>
      <c r="I26" s="245"/>
      <c r="J26" s="245"/>
      <c r="K26" s="247"/>
      <c r="L26" s="11"/>
    </row>
    <row r="27" spans="1:12" x14ac:dyDescent="0.35">
      <c r="A27" s="12"/>
      <c r="B27" s="174" t="s">
        <v>201</v>
      </c>
      <c r="C27" s="239">
        <f>'Kustannusarvio|Rakennusselostus'!D22</f>
        <v>0</v>
      </c>
      <c r="D27" s="240">
        <f>'Kustannusarvio|Rakennusselostus'!E22</f>
        <v>0</v>
      </c>
      <c r="E27" s="240">
        <f>'Kustannusarvio|Rakennusselostus'!F22</f>
        <v>0</v>
      </c>
      <c r="F27" s="240">
        <f>'Kustannusarvio|Rakennusselostus'!G22</f>
        <v>0</v>
      </c>
      <c r="G27" s="244">
        <f t="shared" ref="G27:G173" si="2">D27*F27</f>
        <v>0</v>
      </c>
      <c r="H27" s="240">
        <f>'Kustannusarvio|Rakennusselostus'!I22</f>
        <v>0</v>
      </c>
      <c r="I27" s="240">
        <f>'Kustannusarvio|Rakennusselostus'!J22</f>
        <v>0</v>
      </c>
      <c r="J27" s="240">
        <f>'Kustannusarvio|Rakennusselostus'!K22</f>
        <v>0</v>
      </c>
      <c r="K27" s="244">
        <f t="shared" ref="K27:K173" si="3">G27+H27+(I27*J27)</f>
        <v>0</v>
      </c>
      <c r="L27" s="11"/>
    </row>
    <row r="28" spans="1:12" x14ac:dyDescent="0.35">
      <c r="A28" s="12"/>
      <c r="B28" s="174" t="s">
        <v>202</v>
      </c>
      <c r="C28" s="175">
        <f>'Kustannusarvio|Rakennusselostus'!D23</f>
        <v>0</v>
      </c>
      <c r="D28" s="190">
        <f>'Kustannusarvio|Rakennusselostus'!E23</f>
        <v>0</v>
      </c>
      <c r="E28" s="190">
        <f>'Kustannusarvio|Rakennusselostus'!F23</f>
        <v>0</v>
      </c>
      <c r="F28" s="190">
        <f>'Kustannusarvio|Rakennusselostus'!G23</f>
        <v>0</v>
      </c>
      <c r="G28" s="191">
        <f t="shared" si="2"/>
        <v>0</v>
      </c>
      <c r="H28" s="190">
        <f>'Kustannusarvio|Rakennusselostus'!I23</f>
        <v>0</v>
      </c>
      <c r="I28" s="190">
        <f>'Kustannusarvio|Rakennusselostus'!J23</f>
        <v>0</v>
      </c>
      <c r="J28" s="190">
        <f>'Kustannusarvio|Rakennusselostus'!K23</f>
        <v>0</v>
      </c>
      <c r="K28" s="191">
        <f t="shared" si="3"/>
        <v>0</v>
      </c>
      <c r="L28" s="11"/>
    </row>
    <row r="29" spans="1:12" x14ac:dyDescent="0.35">
      <c r="A29" s="12"/>
      <c r="B29" s="174" t="s">
        <v>203</v>
      </c>
      <c r="C29" s="175">
        <f>'Kustannusarvio|Rakennusselostus'!D24</f>
        <v>0</v>
      </c>
      <c r="D29" s="190">
        <f>'Kustannusarvio|Rakennusselostus'!E24</f>
        <v>0</v>
      </c>
      <c r="E29" s="190">
        <f>'Kustannusarvio|Rakennusselostus'!F24</f>
        <v>0</v>
      </c>
      <c r="F29" s="190">
        <f>'Kustannusarvio|Rakennusselostus'!G24</f>
        <v>0</v>
      </c>
      <c r="G29" s="191">
        <f t="shared" si="2"/>
        <v>0</v>
      </c>
      <c r="H29" s="190">
        <f>'Kustannusarvio|Rakennusselostus'!I24</f>
        <v>0</v>
      </c>
      <c r="I29" s="190">
        <f>'Kustannusarvio|Rakennusselostus'!J24</f>
        <v>0</v>
      </c>
      <c r="J29" s="190">
        <f>'Kustannusarvio|Rakennusselostus'!K24</f>
        <v>0</v>
      </c>
      <c r="K29" s="191">
        <f t="shared" si="3"/>
        <v>0</v>
      </c>
      <c r="L29" s="11"/>
    </row>
    <row r="30" spans="1:12" x14ac:dyDescent="0.35">
      <c r="A30" s="12"/>
      <c r="B30" s="174" t="s">
        <v>204</v>
      </c>
      <c r="C30" s="175">
        <f>'Kustannusarvio|Rakennusselostus'!D25</f>
        <v>0</v>
      </c>
      <c r="D30" s="190">
        <f>'Kustannusarvio|Rakennusselostus'!E25</f>
        <v>0</v>
      </c>
      <c r="E30" s="190">
        <f>'Kustannusarvio|Rakennusselostus'!F25</f>
        <v>0</v>
      </c>
      <c r="F30" s="190">
        <f>'Kustannusarvio|Rakennusselostus'!G25</f>
        <v>0</v>
      </c>
      <c r="G30" s="191">
        <f t="shared" si="2"/>
        <v>0</v>
      </c>
      <c r="H30" s="190">
        <f>'Kustannusarvio|Rakennusselostus'!I25</f>
        <v>0</v>
      </c>
      <c r="I30" s="190">
        <f>'Kustannusarvio|Rakennusselostus'!J25</f>
        <v>0</v>
      </c>
      <c r="J30" s="190">
        <f>'Kustannusarvio|Rakennusselostus'!K25</f>
        <v>0</v>
      </c>
      <c r="K30" s="191">
        <f t="shared" si="3"/>
        <v>0</v>
      </c>
      <c r="L30" s="11"/>
    </row>
    <row r="31" spans="1:12" x14ac:dyDescent="0.35">
      <c r="A31" s="12"/>
      <c r="B31" s="174" t="s">
        <v>205</v>
      </c>
      <c r="C31" s="175">
        <f>'Kustannusarvio|Rakennusselostus'!D26</f>
        <v>0</v>
      </c>
      <c r="D31" s="190">
        <f>'Kustannusarvio|Rakennusselostus'!E26</f>
        <v>0</v>
      </c>
      <c r="E31" s="190">
        <f>'Kustannusarvio|Rakennusselostus'!F26</f>
        <v>0</v>
      </c>
      <c r="F31" s="190">
        <f>'Kustannusarvio|Rakennusselostus'!G26</f>
        <v>0</v>
      </c>
      <c r="G31" s="191">
        <f t="shared" si="2"/>
        <v>0</v>
      </c>
      <c r="H31" s="190">
        <f>'Kustannusarvio|Rakennusselostus'!I26</f>
        <v>0</v>
      </c>
      <c r="I31" s="190">
        <f>'Kustannusarvio|Rakennusselostus'!J26</f>
        <v>0</v>
      </c>
      <c r="J31" s="190">
        <f>'Kustannusarvio|Rakennusselostus'!K26</f>
        <v>0</v>
      </c>
      <c r="K31" s="191">
        <f t="shared" si="3"/>
        <v>0</v>
      </c>
      <c r="L31" s="11"/>
    </row>
    <row r="32" spans="1:12" x14ac:dyDescent="0.35">
      <c r="A32" s="12"/>
      <c r="B32" s="174" t="s">
        <v>206</v>
      </c>
      <c r="C32" s="175">
        <f>'Kustannusarvio|Rakennusselostus'!D27</f>
        <v>0</v>
      </c>
      <c r="D32" s="190">
        <f>'Kustannusarvio|Rakennusselostus'!E27</f>
        <v>0</v>
      </c>
      <c r="E32" s="190">
        <f>'Kustannusarvio|Rakennusselostus'!F27</f>
        <v>0</v>
      </c>
      <c r="F32" s="190">
        <f>'Kustannusarvio|Rakennusselostus'!G27</f>
        <v>0</v>
      </c>
      <c r="G32" s="191">
        <f t="shared" si="2"/>
        <v>0</v>
      </c>
      <c r="H32" s="190">
        <f>'Kustannusarvio|Rakennusselostus'!I27</f>
        <v>0</v>
      </c>
      <c r="I32" s="190">
        <f>'Kustannusarvio|Rakennusselostus'!J27</f>
        <v>0</v>
      </c>
      <c r="J32" s="190">
        <f>'Kustannusarvio|Rakennusselostus'!K27</f>
        <v>0</v>
      </c>
      <c r="K32" s="191">
        <f t="shared" si="3"/>
        <v>0</v>
      </c>
      <c r="L32" s="11"/>
    </row>
    <row r="33" spans="1:12" x14ac:dyDescent="0.35">
      <c r="A33" s="12"/>
      <c r="B33" s="174" t="s">
        <v>207</v>
      </c>
      <c r="C33" s="175">
        <f>'Kustannusarvio|Rakennusselostus'!D28</f>
        <v>0</v>
      </c>
      <c r="D33" s="190">
        <f>'Kustannusarvio|Rakennusselostus'!E28</f>
        <v>0</v>
      </c>
      <c r="E33" s="190">
        <f>'Kustannusarvio|Rakennusselostus'!F28</f>
        <v>0</v>
      </c>
      <c r="F33" s="190">
        <f>'Kustannusarvio|Rakennusselostus'!G28</f>
        <v>0</v>
      </c>
      <c r="G33" s="191">
        <f t="shared" si="2"/>
        <v>0</v>
      </c>
      <c r="H33" s="190">
        <f>'Kustannusarvio|Rakennusselostus'!I28</f>
        <v>0</v>
      </c>
      <c r="I33" s="190">
        <f>'Kustannusarvio|Rakennusselostus'!J28</f>
        <v>0</v>
      </c>
      <c r="J33" s="190">
        <f>'Kustannusarvio|Rakennusselostus'!K28</f>
        <v>0</v>
      </c>
      <c r="K33" s="191">
        <f t="shared" si="3"/>
        <v>0</v>
      </c>
      <c r="L33" s="11"/>
    </row>
    <row r="34" spans="1:12" x14ac:dyDescent="0.35">
      <c r="A34" s="12"/>
      <c r="B34" s="174" t="s">
        <v>208</v>
      </c>
      <c r="C34" s="175">
        <f>'Kustannusarvio|Rakennusselostus'!D29</f>
        <v>0</v>
      </c>
      <c r="D34" s="190">
        <f>'Kustannusarvio|Rakennusselostus'!E29</f>
        <v>0</v>
      </c>
      <c r="E34" s="190">
        <f>'Kustannusarvio|Rakennusselostus'!F29</f>
        <v>0</v>
      </c>
      <c r="F34" s="190">
        <f>'Kustannusarvio|Rakennusselostus'!G29</f>
        <v>0</v>
      </c>
      <c r="G34" s="191">
        <f t="shared" si="2"/>
        <v>0</v>
      </c>
      <c r="H34" s="190">
        <f>'Kustannusarvio|Rakennusselostus'!I29</f>
        <v>0</v>
      </c>
      <c r="I34" s="190">
        <f>'Kustannusarvio|Rakennusselostus'!J29</f>
        <v>0</v>
      </c>
      <c r="J34" s="190">
        <f>'Kustannusarvio|Rakennusselostus'!K29</f>
        <v>0</v>
      </c>
      <c r="K34" s="191">
        <f t="shared" si="3"/>
        <v>0</v>
      </c>
      <c r="L34" s="11"/>
    </row>
    <row r="35" spans="1:12" x14ac:dyDescent="0.35">
      <c r="A35" s="12"/>
      <c r="B35" s="174" t="s">
        <v>209</v>
      </c>
      <c r="C35" s="175">
        <f>'Kustannusarvio|Rakennusselostus'!D30</f>
        <v>0</v>
      </c>
      <c r="D35" s="190">
        <f>'Kustannusarvio|Rakennusselostus'!E30</f>
        <v>0</v>
      </c>
      <c r="E35" s="190">
        <f>'Kustannusarvio|Rakennusselostus'!F30</f>
        <v>0</v>
      </c>
      <c r="F35" s="190">
        <f>'Kustannusarvio|Rakennusselostus'!G30</f>
        <v>0</v>
      </c>
      <c r="G35" s="191">
        <f t="shared" si="2"/>
        <v>0</v>
      </c>
      <c r="H35" s="190">
        <f>'Kustannusarvio|Rakennusselostus'!I30</f>
        <v>0</v>
      </c>
      <c r="I35" s="190">
        <f>'Kustannusarvio|Rakennusselostus'!J30</f>
        <v>0</v>
      </c>
      <c r="J35" s="190">
        <f>'Kustannusarvio|Rakennusselostus'!K30</f>
        <v>0</v>
      </c>
      <c r="K35" s="191">
        <f t="shared" si="3"/>
        <v>0</v>
      </c>
      <c r="L35" s="11"/>
    </row>
    <row r="36" spans="1:12" x14ac:dyDescent="0.35">
      <c r="A36" s="12"/>
      <c r="B36" s="174" t="s">
        <v>210</v>
      </c>
      <c r="C36" s="175">
        <f>'Kustannusarvio|Rakennusselostus'!D31</f>
        <v>0</v>
      </c>
      <c r="D36" s="190">
        <f>'Kustannusarvio|Rakennusselostus'!E31</f>
        <v>0</v>
      </c>
      <c r="E36" s="190">
        <f>'Kustannusarvio|Rakennusselostus'!F31</f>
        <v>0</v>
      </c>
      <c r="F36" s="190">
        <f>'Kustannusarvio|Rakennusselostus'!G31</f>
        <v>0</v>
      </c>
      <c r="G36" s="191">
        <f t="shared" si="2"/>
        <v>0</v>
      </c>
      <c r="H36" s="190">
        <f>'Kustannusarvio|Rakennusselostus'!I31</f>
        <v>0</v>
      </c>
      <c r="I36" s="190">
        <f>'Kustannusarvio|Rakennusselostus'!J31</f>
        <v>0</v>
      </c>
      <c r="J36" s="190">
        <f>'Kustannusarvio|Rakennusselostus'!K31</f>
        <v>0</v>
      </c>
      <c r="K36" s="191">
        <f t="shared" si="3"/>
        <v>0</v>
      </c>
      <c r="L36" s="11"/>
    </row>
    <row r="37" spans="1:12" x14ac:dyDescent="0.35">
      <c r="A37" s="12"/>
      <c r="B37" s="174" t="s">
        <v>211</v>
      </c>
      <c r="C37" s="175">
        <f>'Kustannusarvio|Rakennusselostus'!D32</f>
        <v>0</v>
      </c>
      <c r="D37" s="190">
        <f>'Kustannusarvio|Rakennusselostus'!E32</f>
        <v>0</v>
      </c>
      <c r="E37" s="190">
        <f>'Kustannusarvio|Rakennusselostus'!F32</f>
        <v>0</v>
      </c>
      <c r="F37" s="190">
        <f>'Kustannusarvio|Rakennusselostus'!G32</f>
        <v>0</v>
      </c>
      <c r="G37" s="191">
        <f t="shared" si="2"/>
        <v>0</v>
      </c>
      <c r="H37" s="190">
        <f>'Kustannusarvio|Rakennusselostus'!I32</f>
        <v>0</v>
      </c>
      <c r="I37" s="190">
        <f>'Kustannusarvio|Rakennusselostus'!J32</f>
        <v>0</v>
      </c>
      <c r="J37" s="190">
        <f>'Kustannusarvio|Rakennusselostus'!K32</f>
        <v>0</v>
      </c>
      <c r="K37" s="191">
        <f t="shared" si="3"/>
        <v>0</v>
      </c>
      <c r="L37" s="11"/>
    </row>
    <row r="38" spans="1:12" x14ac:dyDescent="0.35">
      <c r="A38" s="12"/>
      <c r="B38" s="174" t="s">
        <v>212</v>
      </c>
      <c r="C38" s="175">
        <f>'Kustannusarvio|Rakennusselostus'!D33</f>
        <v>0</v>
      </c>
      <c r="D38" s="190">
        <f>'Kustannusarvio|Rakennusselostus'!E33</f>
        <v>0</v>
      </c>
      <c r="E38" s="190">
        <f>'Kustannusarvio|Rakennusselostus'!F33</f>
        <v>0</v>
      </c>
      <c r="F38" s="190">
        <f>'Kustannusarvio|Rakennusselostus'!G33</f>
        <v>0</v>
      </c>
      <c r="G38" s="191">
        <f t="shared" si="2"/>
        <v>0</v>
      </c>
      <c r="H38" s="190">
        <f>'Kustannusarvio|Rakennusselostus'!I33</f>
        <v>0</v>
      </c>
      <c r="I38" s="190">
        <f>'Kustannusarvio|Rakennusselostus'!J33</f>
        <v>0</v>
      </c>
      <c r="J38" s="190">
        <f>'Kustannusarvio|Rakennusselostus'!K33</f>
        <v>0</v>
      </c>
      <c r="K38" s="191">
        <f t="shared" si="3"/>
        <v>0</v>
      </c>
      <c r="L38" s="11"/>
    </row>
    <row r="39" spans="1:12" x14ac:dyDescent="0.35">
      <c r="A39" s="12"/>
      <c r="B39" s="174" t="s">
        <v>213</v>
      </c>
      <c r="C39" s="175">
        <f>'Kustannusarvio|Rakennusselostus'!D34</f>
        <v>0</v>
      </c>
      <c r="D39" s="190">
        <f>'Kustannusarvio|Rakennusselostus'!E34</f>
        <v>0</v>
      </c>
      <c r="E39" s="190">
        <f>'Kustannusarvio|Rakennusselostus'!F34</f>
        <v>0</v>
      </c>
      <c r="F39" s="190">
        <f>'Kustannusarvio|Rakennusselostus'!G34</f>
        <v>0</v>
      </c>
      <c r="G39" s="191">
        <f t="shared" si="2"/>
        <v>0</v>
      </c>
      <c r="H39" s="190">
        <f>'Kustannusarvio|Rakennusselostus'!I34</f>
        <v>0</v>
      </c>
      <c r="I39" s="190">
        <f>'Kustannusarvio|Rakennusselostus'!J34</f>
        <v>0</v>
      </c>
      <c r="J39" s="190">
        <f>'Kustannusarvio|Rakennusselostus'!K34</f>
        <v>0</v>
      </c>
      <c r="K39" s="191">
        <f t="shared" si="3"/>
        <v>0</v>
      </c>
      <c r="L39" s="11"/>
    </row>
    <row r="40" spans="1:12" x14ac:dyDescent="0.35">
      <c r="A40" s="12"/>
      <c r="B40" s="174" t="s">
        <v>214</v>
      </c>
      <c r="C40" s="175">
        <f>'Kustannusarvio|Rakennusselostus'!D35</f>
        <v>0</v>
      </c>
      <c r="D40" s="190">
        <f>'Kustannusarvio|Rakennusselostus'!E35</f>
        <v>0</v>
      </c>
      <c r="E40" s="190">
        <f>'Kustannusarvio|Rakennusselostus'!F35</f>
        <v>0</v>
      </c>
      <c r="F40" s="190">
        <f>'Kustannusarvio|Rakennusselostus'!G35</f>
        <v>0</v>
      </c>
      <c r="G40" s="191">
        <f t="shared" si="2"/>
        <v>0</v>
      </c>
      <c r="H40" s="190">
        <f>'Kustannusarvio|Rakennusselostus'!I35</f>
        <v>0</v>
      </c>
      <c r="I40" s="190">
        <f>'Kustannusarvio|Rakennusselostus'!J35</f>
        <v>0</v>
      </c>
      <c r="J40" s="190">
        <f>'Kustannusarvio|Rakennusselostus'!K35</f>
        <v>0</v>
      </c>
      <c r="K40" s="191">
        <f t="shared" si="3"/>
        <v>0</v>
      </c>
      <c r="L40" s="11"/>
    </row>
    <row r="41" spans="1:12" x14ac:dyDescent="0.35">
      <c r="A41" s="12"/>
      <c r="B41" s="174" t="s">
        <v>215</v>
      </c>
      <c r="C41" s="175">
        <f>'Kustannusarvio|Rakennusselostus'!D36</f>
        <v>0</v>
      </c>
      <c r="D41" s="190">
        <f>'Kustannusarvio|Rakennusselostus'!E36</f>
        <v>0</v>
      </c>
      <c r="E41" s="190">
        <f>'Kustannusarvio|Rakennusselostus'!F36</f>
        <v>0</v>
      </c>
      <c r="F41" s="190">
        <f>'Kustannusarvio|Rakennusselostus'!G36</f>
        <v>0</v>
      </c>
      <c r="G41" s="191">
        <f t="shared" si="2"/>
        <v>0</v>
      </c>
      <c r="H41" s="190">
        <f>'Kustannusarvio|Rakennusselostus'!I36</f>
        <v>0</v>
      </c>
      <c r="I41" s="190">
        <f>'Kustannusarvio|Rakennusselostus'!J36</f>
        <v>0</v>
      </c>
      <c r="J41" s="190">
        <f>'Kustannusarvio|Rakennusselostus'!K36</f>
        <v>0</v>
      </c>
      <c r="K41" s="191">
        <f t="shared" si="3"/>
        <v>0</v>
      </c>
      <c r="L41" s="11"/>
    </row>
    <row r="42" spans="1:12" x14ac:dyDescent="0.35">
      <c r="A42" s="12"/>
      <c r="B42" s="174" t="s">
        <v>216</v>
      </c>
      <c r="C42" s="175">
        <f>'Kustannusarvio|Rakennusselostus'!D37</f>
        <v>0</v>
      </c>
      <c r="D42" s="190">
        <f>'Kustannusarvio|Rakennusselostus'!E37</f>
        <v>0</v>
      </c>
      <c r="E42" s="190">
        <f>'Kustannusarvio|Rakennusselostus'!F37</f>
        <v>0</v>
      </c>
      <c r="F42" s="190">
        <f>'Kustannusarvio|Rakennusselostus'!G37</f>
        <v>0</v>
      </c>
      <c r="G42" s="191">
        <f t="shared" si="2"/>
        <v>0</v>
      </c>
      <c r="H42" s="190">
        <f>'Kustannusarvio|Rakennusselostus'!I37</f>
        <v>0</v>
      </c>
      <c r="I42" s="190">
        <f>'Kustannusarvio|Rakennusselostus'!J37</f>
        <v>0</v>
      </c>
      <c r="J42" s="190">
        <f>'Kustannusarvio|Rakennusselostus'!K37</f>
        <v>0</v>
      </c>
      <c r="K42" s="191">
        <f t="shared" si="3"/>
        <v>0</v>
      </c>
      <c r="L42" s="11"/>
    </row>
    <row r="43" spans="1:12" x14ac:dyDescent="0.35">
      <c r="A43" s="12"/>
      <c r="B43" s="188" t="str">
        <f>SUBSTITUTE(IF('Kustannusarvio|Rakennusselostus'!C38="",'Kustannusarvio|Rakennusselostus'!B38,'Kustannusarvio|Rakennusselostus'!C38),":","")</f>
        <v>Muu rakennusosa</v>
      </c>
      <c r="C43" s="175">
        <f>'Kustannusarvio|Rakennusselostus'!D38</f>
        <v>0</v>
      </c>
      <c r="D43" s="190">
        <f>'Kustannusarvio|Rakennusselostus'!E38</f>
        <v>0</v>
      </c>
      <c r="E43" s="190">
        <f>'Kustannusarvio|Rakennusselostus'!F38</f>
        <v>0</v>
      </c>
      <c r="F43" s="190">
        <f>'Kustannusarvio|Rakennusselostus'!G38</f>
        <v>0</v>
      </c>
      <c r="G43" s="191">
        <f t="shared" si="2"/>
        <v>0</v>
      </c>
      <c r="H43" s="190">
        <f>'Kustannusarvio|Rakennusselostus'!I38</f>
        <v>0</v>
      </c>
      <c r="I43" s="190">
        <f>'Kustannusarvio|Rakennusselostus'!J38</f>
        <v>0</v>
      </c>
      <c r="J43" s="190">
        <f>'Kustannusarvio|Rakennusselostus'!K38</f>
        <v>0</v>
      </c>
      <c r="K43" s="191">
        <f t="shared" si="3"/>
        <v>0</v>
      </c>
      <c r="L43" s="11"/>
    </row>
    <row r="44" spans="1:12" x14ac:dyDescent="0.35">
      <c r="A44" s="12"/>
      <c r="B44" s="188" t="str">
        <f>SUBSTITUTE(IF('Kustannusarvio|Rakennusselostus'!C39="",'Kustannusarvio|Rakennusselostus'!B39,'Kustannusarvio|Rakennusselostus'!C39),":","")</f>
        <v>Muu rakennusosa</v>
      </c>
      <c r="C44" s="175">
        <f>'Kustannusarvio|Rakennusselostus'!D39</f>
        <v>0</v>
      </c>
      <c r="D44" s="190">
        <f>'Kustannusarvio|Rakennusselostus'!E39</f>
        <v>0</v>
      </c>
      <c r="E44" s="190">
        <f>'Kustannusarvio|Rakennusselostus'!F39</f>
        <v>0</v>
      </c>
      <c r="F44" s="190">
        <f>'Kustannusarvio|Rakennusselostus'!G39</f>
        <v>0</v>
      </c>
      <c r="G44" s="191">
        <f t="shared" si="2"/>
        <v>0</v>
      </c>
      <c r="H44" s="190">
        <f>'Kustannusarvio|Rakennusselostus'!I39</f>
        <v>0</v>
      </c>
      <c r="I44" s="190">
        <f>'Kustannusarvio|Rakennusselostus'!J39</f>
        <v>0</v>
      </c>
      <c r="J44" s="190">
        <f>'Kustannusarvio|Rakennusselostus'!K39</f>
        <v>0</v>
      </c>
      <c r="K44" s="191">
        <f t="shared" si="3"/>
        <v>0</v>
      </c>
      <c r="L44" s="11"/>
    </row>
    <row r="45" spans="1:12" x14ac:dyDescent="0.35">
      <c r="A45" s="12"/>
      <c r="B45" s="188" t="str">
        <f>SUBSTITUTE(IF('Kustannusarvio|Rakennusselostus'!C40="",'Kustannusarvio|Rakennusselostus'!B40,'Kustannusarvio|Rakennusselostus'!C40),":","")</f>
        <v>Muu rakennusosa</v>
      </c>
      <c r="C45" s="175">
        <f>'Kustannusarvio|Rakennusselostus'!D40</f>
        <v>0</v>
      </c>
      <c r="D45" s="190">
        <f>'Kustannusarvio|Rakennusselostus'!E40</f>
        <v>0</v>
      </c>
      <c r="E45" s="190">
        <f>'Kustannusarvio|Rakennusselostus'!F40</f>
        <v>0</v>
      </c>
      <c r="F45" s="190">
        <f>'Kustannusarvio|Rakennusselostus'!G40</f>
        <v>0</v>
      </c>
      <c r="G45" s="191">
        <f t="shared" si="2"/>
        <v>0</v>
      </c>
      <c r="H45" s="190">
        <f>'Kustannusarvio|Rakennusselostus'!I40</f>
        <v>0</v>
      </c>
      <c r="I45" s="190">
        <f>'Kustannusarvio|Rakennusselostus'!J40</f>
        <v>0</v>
      </c>
      <c r="J45" s="190">
        <f>'Kustannusarvio|Rakennusselostus'!K40</f>
        <v>0</v>
      </c>
      <c r="K45" s="191">
        <f t="shared" si="3"/>
        <v>0</v>
      </c>
      <c r="L45" s="11"/>
    </row>
    <row r="46" spans="1:12" x14ac:dyDescent="0.35">
      <c r="A46" s="44" t="s">
        <v>198</v>
      </c>
      <c r="B46" s="51"/>
      <c r="C46" s="290"/>
      <c r="D46" s="46"/>
      <c r="E46" s="46"/>
      <c r="F46" s="46"/>
      <c r="G46" s="243"/>
      <c r="H46" s="249"/>
      <c r="I46" s="249"/>
      <c r="J46" s="249"/>
      <c r="K46" s="250"/>
      <c r="L46" s="11"/>
    </row>
    <row r="47" spans="1:12" x14ac:dyDescent="0.35">
      <c r="A47" s="10" t="s">
        <v>40</v>
      </c>
      <c r="B47" s="27"/>
      <c r="C47" s="291"/>
      <c r="D47" s="245"/>
      <c r="E47" s="246"/>
      <c r="F47" s="245"/>
      <c r="G47" s="248"/>
      <c r="H47" s="245"/>
      <c r="I47" s="245"/>
      <c r="J47" s="245"/>
      <c r="K47" s="247"/>
      <c r="L47" s="11"/>
    </row>
    <row r="48" spans="1:12" x14ac:dyDescent="0.35">
      <c r="A48" s="12"/>
      <c r="B48" s="174" t="s">
        <v>41</v>
      </c>
      <c r="C48" s="175">
        <f>'Kustannusarvio|Rakennusselostus'!D43</f>
        <v>0</v>
      </c>
      <c r="D48" s="190">
        <f>'Kustannusarvio|Rakennusselostus'!E43</f>
        <v>0</v>
      </c>
      <c r="E48" s="190">
        <f>'Kustannusarvio|Rakennusselostus'!F43</f>
        <v>0</v>
      </c>
      <c r="F48" s="190">
        <f>'Kustannusarvio|Rakennusselostus'!G43</f>
        <v>0</v>
      </c>
      <c r="G48" s="191">
        <f t="shared" si="2"/>
        <v>0</v>
      </c>
      <c r="H48" s="190">
        <f>'Kustannusarvio|Rakennusselostus'!I43</f>
        <v>0</v>
      </c>
      <c r="I48" s="190">
        <f>'Kustannusarvio|Rakennusselostus'!J43</f>
        <v>0</v>
      </c>
      <c r="J48" s="190">
        <f>'Kustannusarvio|Rakennusselostus'!K43</f>
        <v>0</v>
      </c>
      <c r="K48" s="191">
        <f t="shared" si="3"/>
        <v>0</v>
      </c>
      <c r="L48" s="11"/>
    </row>
    <row r="49" spans="1:12" x14ac:dyDescent="0.35">
      <c r="A49" s="12"/>
      <c r="B49" s="174" t="s">
        <v>43</v>
      </c>
      <c r="C49" s="175">
        <f>'Kustannusarvio|Rakennusselostus'!D44</f>
        <v>0</v>
      </c>
      <c r="D49" s="190">
        <f>'Kustannusarvio|Rakennusselostus'!E44</f>
        <v>0</v>
      </c>
      <c r="E49" s="190">
        <f>'Kustannusarvio|Rakennusselostus'!F44</f>
        <v>0</v>
      </c>
      <c r="F49" s="190">
        <f>'Kustannusarvio|Rakennusselostus'!G44</f>
        <v>0</v>
      </c>
      <c r="G49" s="191">
        <f t="shared" si="2"/>
        <v>0</v>
      </c>
      <c r="H49" s="190">
        <f>'Kustannusarvio|Rakennusselostus'!I44</f>
        <v>0</v>
      </c>
      <c r="I49" s="190">
        <f>'Kustannusarvio|Rakennusselostus'!J44</f>
        <v>0</v>
      </c>
      <c r="J49" s="190">
        <f>'Kustannusarvio|Rakennusselostus'!K44</f>
        <v>0</v>
      </c>
      <c r="K49" s="191">
        <f t="shared" si="3"/>
        <v>0</v>
      </c>
      <c r="L49" s="11"/>
    </row>
    <row r="50" spans="1:12" x14ac:dyDescent="0.35">
      <c r="A50" s="12"/>
      <c r="B50" s="174" t="s">
        <v>42</v>
      </c>
      <c r="C50" s="175">
        <f>'Kustannusarvio|Rakennusselostus'!D45</f>
        <v>0</v>
      </c>
      <c r="D50" s="190">
        <f>'Kustannusarvio|Rakennusselostus'!E45</f>
        <v>0</v>
      </c>
      <c r="E50" s="190">
        <f>'Kustannusarvio|Rakennusselostus'!F45</f>
        <v>0</v>
      </c>
      <c r="F50" s="190">
        <f>'Kustannusarvio|Rakennusselostus'!G45</f>
        <v>0</v>
      </c>
      <c r="G50" s="191">
        <f t="shared" si="2"/>
        <v>0</v>
      </c>
      <c r="H50" s="190">
        <f>'Kustannusarvio|Rakennusselostus'!I45</f>
        <v>0</v>
      </c>
      <c r="I50" s="190">
        <f>'Kustannusarvio|Rakennusselostus'!J45</f>
        <v>0</v>
      </c>
      <c r="J50" s="190">
        <f>'Kustannusarvio|Rakennusselostus'!K45</f>
        <v>0</v>
      </c>
      <c r="K50" s="191">
        <f t="shared" si="3"/>
        <v>0</v>
      </c>
      <c r="L50" s="11"/>
    </row>
    <row r="51" spans="1:12" x14ac:dyDescent="0.35">
      <c r="A51" s="12"/>
      <c r="B51" s="174" t="s">
        <v>19</v>
      </c>
      <c r="C51" s="175">
        <f>'Kustannusarvio|Rakennusselostus'!D46</f>
        <v>0</v>
      </c>
      <c r="D51" s="190">
        <f>'Kustannusarvio|Rakennusselostus'!E46</f>
        <v>0</v>
      </c>
      <c r="E51" s="190">
        <f>'Kustannusarvio|Rakennusselostus'!F46</f>
        <v>0</v>
      </c>
      <c r="F51" s="190">
        <f>'Kustannusarvio|Rakennusselostus'!G46</f>
        <v>0</v>
      </c>
      <c r="G51" s="191">
        <f t="shared" si="2"/>
        <v>0</v>
      </c>
      <c r="H51" s="190">
        <f>'Kustannusarvio|Rakennusselostus'!I46</f>
        <v>0</v>
      </c>
      <c r="I51" s="190">
        <f>'Kustannusarvio|Rakennusselostus'!J46</f>
        <v>0</v>
      </c>
      <c r="J51" s="190">
        <f>'Kustannusarvio|Rakennusselostus'!K46</f>
        <v>0</v>
      </c>
      <c r="K51" s="191">
        <f t="shared" si="3"/>
        <v>0</v>
      </c>
      <c r="L51" s="11"/>
    </row>
    <row r="52" spans="1:12" x14ac:dyDescent="0.35">
      <c r="A52" s="12"/>
      <c r="B52" s="174" t="s">
        <v>217</v>
      </c>
      <c r="C52" s="175">
        <f>'Kustannusarvio|Rakennusselostus'!D47</f>
        <v>0</v>
      </c>
      <c r="D52" s="190">
        <f>'Kustannusarvio|Rakennusselostus'!E47</f>
        <v>0</v>
      </c>
      <c r="E52" s="190">
        <f>'Kustannusarvio|Rakennusselostus'!F47</f>
        <v>0</v>
      </c>
      <c r="F52" s="190">
        <f>'Kustannusarvio|Rakennusselostus'!G47</f>
        <v>0</v>
      </c>
      <c r="G52" s="191">
        <f t="shared" si="2"/>
        <v>0</v>
      </c>
      <c r="H52" s="190">
        <f>'Kustannusarvio|Rakennusselostus'!I47</f>
        <v>0</v>
      </c>
      <c r="I52" s="190">
        <f>'Kustannusarvio|Rakennusselostus'!J47</f>
        <v>0</v>
      </c>
      <c r="J52" s="190">
        <f>'Kustannusarvio|Rakennusselostus'!K47</f>
        <v>0</v>
      </c>
      <c r="K52" s="191">
        <f t="shared" si="3"/>
        <v>0</v>
      </c>
      <c r="L52" s="11"/>
    </row>
    <row r="53" spans="1:12" x14ac:dyDescent="0.35">
      <c r="A53" s="12"/>
      <c r="B53" s="188" t="str">
        <f>SUBSTITUTE(IF('Kustannusarvio|Rakennusselostus'!C48="",'Kustannusarvio|Rakennusselostus'!B48,'Kustannusarvio|Rakennusselostus'!C48),":","")</f>
        <v>Muu korjaus</v>
      </c>
      <c r="C53" s="175">
        <f>'Kustannusarvio|Rakennusselostus'!D48</f>
        <v>0</v>
      </c>
      <c r="D53" s="190">
        <f>'Kustannusarvio|Rakennusselostus'!E48</f>
        <v>0</v>
      </c>
      <c r="E53" s="190">
        <f>'Kustannusarvio|Rakennusselostus'!F48</f>
        <v>0</v>
      </c>
      <c r="F53" s="190">
        <f>'Kustannusarvio|Rakennusselostus'!G48</f>
        <v>0</v>
      </c>
      <c r="G53" s="191">
        <f t="shared" si="2"/>
        <v>0</v>
      </c>
      <c r="H53" s="190">
        <f>'Kustannusarvio|Rakennusselostus'!I48</f>
        <v>0</v>
      </c>
      <c r="I53" s="190">
        <f>'Kustannusarvio|Rakennusselostus'!J48</f>
        <v>0</v>
      </c>
      <c r="J53" s="190">
        <f>'Kustannusarvio|Rakennusselostus'!K48</f>
        <v>0</v>
      </c>
      <c r="K53" s="191">
        <f t="shared" si="3"/>
        <v>0</v>
      </c>
      <c r="L53" s="11"/>
    </row>
    <row r="54" spans="1:12" x14ac:dyDescent="0.35">
      <c r="A54" s="10" t="s">
        <v>44</v>
      </c>
      <c r="B54" s="27"/>
      <c r="C54" s="291"/>
      <c r="D54" s="245"/>
      <c r="E54" s="246"/>
      <c r="F54" s="245"/>
      <c r="G54" s="248"/>
      <c r="H54" s="245"/>
      <c r="I54" s="245"/>
      <c r="J54" s="245"/>
      <c r="K54" s="247"/>
      <c r="L54" s="11"/>
    </row>
    <row r="55" spans="1:12" x14ac:dyDescent="0.35">
      <c r="A55" s="12"/>
      <c r="B55" s="174" t="s">
        <v>99</v>
      </c>
      <c r="C55" s="175">
        <f>'Kustannusarvio|Rakennusselostus'!D50</f>
        <v>0</v>
      </c>
      <c r="D55" s="190">
        <f>'Kustannusarvio|Rakennusselostus'!E50</f>
        <v>0</v>
      </c>
      <c r="E55" s="190">
        <f>'Kustannusarvio|Rakennusselostus'!F50</f>
        <v>0</v>
      </c>
      <c r="F55" s="190">
        <f>'Kustannusarvio|Rakennusselostus'!G50</f>
        <v>0</v>
      </c>
      <c r="G55" s="191">
        <f t="shared" si="2"/>
        <v>0</v>
      </c>
      <c r="H55" s="190">
        <f>'Kustannusarvio|Rakennusselostus'!I50</f>
        <v>0</v>
      </c>
      <c r="I55" s="190">
        <f>'Kustannusarvio|Rakennusselostus'!J50</f>
        <v>0</v>
      </c>
      <c r="J55" s="190">
        <f>'Kustannusarvio|Rakennusselostus'!K50</f>
        <v>0</v>
      </c>
      <c r="K55" s="191">
        <f t="shared" si="3"/>
        <v>0</v>
      </c>
      <c r="L55" s="11"/>
    </row>
    <row r="56" spans="1:12" x14ac:dyDescent="0.35">
      <c r="A56" s="12"/>
      <c r="B56" s="174" t="s">
        <v>45</v>
      </c>
      <c r="C56" s="175">
        <f>'Kustannusarvio|Rakennusselostus'!D51</f>
        <v>0</v>
      </c>
      <c r="D56" s="190">
        <f>'Kustannusarvio|Rakennusselostus'!E51</f>
        <v>0</v>
      </c>
      <c r="E56" s="190">
        <f>'Kustannusarvio|Rakennusselostus'!F51</f>
        <v>0</v>
      </c>
      <c r="F56" s="190">
        <f>'Kustannusarvio|Rakennusselostus'!G51</f>
        <v>0</v>
      </c>
      <c r="G56" s="191">
        <f t="shared" si="2"/>
        <v>0</v>
      </c>
      <c r="H56" s="190">
        <f>'Kustannusarvio|Rakennusselostus'!I51</f>
        <v>0</v>
      </c>
      <c r="I56" s="190">
        <f>'Kustannusarvio|Rakennusselostus'!J51</f>
        <v>0</v>
      </c>
      <c r="J56" s="190">
        <f>'Kustannusarvio|Rakennusselostus'!K51</f>
        <v>0</v>
      </c>
      <c r="K56" s="191">
        <f t="shared" si="3"/>
        <v>0</v>
      </c>
      <c r="L56" s="11"/>
    </row>
    <row r="57" spans="1:12" x14ac:dyDescent="0.35">
      <c r="A57" s="12"/>
      <c r="B57" s="174" t="s">
        <v>47</v>
      </c>
      <c r="C57" s="175">
        <f>'Kustannusarvio|Rakennusselostus'!D52</f>
        <v>0</v>
      </c>
      <c r="D57" s="190">
        <f>'Kustannusarvio|Rakennusselostus'!E52</f>
        <v>0</v>
      </c>
      <c r="E57" s="190">
        <f>'Kustannusarvio|Rakennusselostus'!F52</f>
        <v>0</v>
      </c>
      <c r="F57" s="190">
        <f>'Kustannusarvio|Rakennusselostus'!G52</f>
        <v>0</v>
      </c>
      <c r="G57" s="191">
        <f t="shared" si="2"/>
        <v>0</v>
      </c>
      <c r="H57" s="190">
        <f>'Kustannusarvio|Rakennusselostus'!I52</f>
        <v>0</v>
      </c>
      <c r="I57" s="190">
        <f>'Kustannusarvio|Rakennusselostus'!J52</f>
        <v>0</v>
      </c>
      <c r="J57" s="190">
        <f>'Kustannusarvio|Rakennusselostus'!K52</f>
        <v>0</v>
      </c>
      <c r="K57" s="191">
        <f t="shared" si="3"/>
        <v>0</v>
      </c>
      <c r="L57" s="11"/>
    </row>
    <row r="58" spans="1:12" x14ac:dyDescent="0.35">
      <c r="A58" s="12"/>
      <c r="B58" s="174" t="s">
        <v>46</v>
      </c>
      <c r="C58" s="175">
        <f>'Kustannusarvio|Rakennusselostus'!D53</f>
        <v>0</v>
      </c>
      <c r="D58" s="190">
        <f>'Kustannusarvio|Rakennusselostus'!E53</f>
        <v>0</v>
      </c>
      <c r="E58" s="190">
        <f>'Kustannusarvio|Rakennusselostus'!F53</f>
        <v>0</v>
      </c>
      <c r="F58" s="190">
        <f>'Kustannusarvio|Rakennusselostus'!G53</f>
        <v>0</v>
      </c>
      <c r="G58" s="191">
        <f t="shared" si="2"/>
        <v>0</v>
      </c>
      <c r="H58" s="190">
        <f>'Kustannusarvio|Rakennusselostus'!I53</f>
        <v>0</v>
      </c>
      <c r="I58" s="190">
        <f>'Kustannusarvio|Rakennusselostus'!J53</f>
        <v>0</v>
      </c>
      <c r="J58" s="190">
        <f>'Kustannusarvio|Rakennusselostus'!K53</f>
        <v>0</v>
      </c>
      <c r="K58" s="191">
        <f t="shared" si="3"/>
        <v>0</v>
      </c>
      <c r="L58" s="11"/>
    </row>
    <row r="59" spans="1:12" x14ac:dyDescent="0.35">
      <c r="A59" s="12"/>
      <c r="B59" s="174" t="s">
        <v>100</v>
      </c>
      <c r="C59" s="175">
        <f>'Kustannusarvio|Rakennusselostus'!D54</f>
        <v>0</v>
      </c>
      <c r="D59" s="190">
        <f>'Kustannusarvio|Rakennusselostus'!E54</f>
        <v>0</v>
      </c>
      <c r="E59" s="190">
        <f>'Kustannusarvio|Rakennusselostus'!F54</f>
        <v>0</v>
      </c>
      <c r="F59" s="190">
        <f>'Kustannusarvio|Rakennusselostus'!G54</f>
        <v>0</v>
      </c>
      <c r="G59" s="191">
        <f t="shared" si="2"/>
        <v>0</v>
      </c>
      <c r="H59" s="190">
        <f>'Kustannusarvio|Rakennusselostus'!I54</f>
        <v>0</v>
      </c>
      <c r="I59" s="190">
        <f>'Kustannusarvio|Rakennusselostus'!J54</f>
        <v>0</v>
      </c>
      <c r="J59" s="190">
        <f>'Kustannusarvio|Rakennusselostus'!K54</f>
        <v>0</v>
      </c>
      <c r="K59" s="191">
        <f t="shared" si="3"/>
        <v>0</v>
      </c>
      <c r="L59" s="11"/>
    </row>
    <row r="60" spans="1:12" x14ac:dyDescent="0.35">
      <c r="A60" s="12"/>
      <c r="B60" s="174" t="s">
        <v>48</v>
      </c>
      <c r="C60" s="175">
        <f>'Kustannusarvio|Rakennusselostus'!D55</f>
        <v>0</v>
      </c>
      <c r="D60" s="190">
        <f>'Kustannusarvio|Rakennusselostus'!E55</f>
        <v>0</v>
      </c>
      <c r="E60" s="190">
        <f>'Kustannusarvio|Rakennusselostus'!F55</f>
        <v>0</v>
      </c>
      <c r="F60" s="190">
        <f>'Kustannusarvio|Rakennusselostus'!G55</f>
        <v>0</v>
      </c>
      <c r="G60" s="191">
        <f t="shared" si="2"/>
        <v>0</v>
      </c>
      <c r="H60" s="190">
        <f>'Kustannusarvio|Rakennusselostus'!I55</f>
        <v>0</v>
      </c>
      <c r="I60" s="190">
        <f>'Kustannusarvio|Rakennusselostus'!J55</f>
        <v>0</v>
      </c>
      <c r="J60" s="190">
        <f>'Kustannusarvio|Rakennusselostus'!K55</f>
        <v>0</v>
      </c>
      <c r="K60" s="191">
        <f t="shared" si="3"/>
        <v>0</v>
      </c>
      <c r="L60" s="11"/>
    </row>
    <row r="61" spans="1:12" x14ac:dyDescent="0.35">
      <c r="A61" s="12"/>
      <c r="B61" s="188" t="str">
        <f>SUBSTITUTE(IF('Kustannusarvio|Rakennusselostus'!C56="",'Kustannusarvio|Rakennusselostus'!B56,'Kustannusarvio|Rakennusselostus'!C56),":","")</f>
        <v>Muu korjaus</v>
      </c>
      <c r="C61" s="175">
        <f>'Kustannusarvio|Rakennusselostus'!D56</f>
        <v>0</v>
      </c>
      <c r="D61" s="190">
        <f>'Kustannusarvio|Rakennusselostus'!E56</f>
        <v>0</v>
      </c>
      <c r="E61" s="190">
        <f>'Kustannusarvio|Rakennusselostus'!F56</f>
        <v>0</v>
      </c>
      <c r="F61" s="190">
        <f>'Kustannusarvio|Rakennusselostus'!G56</f>
        <v>0</v>
      </c>
      <c r="G61" s="191">
        <f t="shared" si="2"/>
        <v>0</v>
      </c>
      <c r="H61" s="190">
        <f>'Kustannusarvio|Rakennusselostus'!I56</f>
        <v>0</v>
      </c>
      <c r="I61" s="190">
        <f>'Kustannusarvio|Rakennusselostus'!J56</f>
        <v>0</v>
      </c>
      <c r="J61" s="190">
        <f>'Kustannusarvio|Rakennusselostus'!K56</f>
        <v>0</v>
      </c>
      <c r="K61" s="191">
        <f t="shared" si="3"/>
        <v>0</v>
      </c>
      <c r="L61" s="11"/>
    </row>
    <row r="62" spans="1:12" x14ac:dyDescent="0.35">
      <c r="A62" s="10" t="s">
        <v>51</v>
      </c>
      <c r="B62" s="27"/>
      <c r="C62" s="291"/>
      <c r="D62" s="245"/>
      <c r="E62" s="246"/>
      <c r="F62" s="245"/>
      <c r="G62" s="248"/>
      <c r="H62" s="245"/>
      <c r="I62" s="245"/>
      <c r="J62" s="245"/>
      <c r="K62" s="247"/>
      <c r="L62" s="11"/>
    </row>
    <row r="63" spans="1:12" x14ac:dyDescent="0.35">
      <c r="A63" s="12"/>
      <c r="B63" s="174" t="s">
        <v>246</v>
      </c>
      <c r="C63" s="175">
        <f>'Kustannusarvio|Rakennusselostus'!D58</f>
        <v>0</v>
      </c>
      <c r="D63" s="190">
        <f>'Kustannusarvio|Rakennusselostus'!E58</f>
        <v>0</v>
      </c>
      <c r="E63" s="190">
        <f>'Kustannusarvio|Rakennusselostus'!F58</f>
        <v>0</v>
      </c>
      <c r="F63" s="190">
        <f>'Kustannusarvio|Rakennusselostus'!G58</f>
        <v>0</v>
      </c>
      <c r="G63" s="191">
        <f t="shared" si="2"/>
        <v>0</v>
      </c>
      <c r="H63" s="190">
        <f>'Kustannusarvio|Rakennusselostus'!I58</f>
        <v>0</v>
      </c>
      <c r="I63" s="190">
        <f>'Kustannusarvio|Rakennusselostus'!J58</f>
        <v>0</v>
      </c>
      <c r="J63" s="190">
        <f>'Kustannusarvio|Rakennusselostus'!K58</f>
        <v>0</v>
      </c>
      <c r="K63" s="191">
        <f t="shared" si="3"/>
        <v>0</v>
      </c>
      <c r="L63" s="11"/>
    </row>
    <row r="64" spans="1:12" x14ac:dyDescent="0.35">
      <c r="A64" s="12"/>
      <c r="B64" s="174" t="s">
        <v>49</v>
      </c>
      <c r="C64" s="175">
        <f>'Kustannusarvio|Rakennusselostus'!D59</f>
        <v>0</v>
      </c>
      <c r="D64" s="190">
        <f>'Kustannusarvio|Rakennusselostus'!E59</f>
        <v>0</v>
      </c>
      <c r="E64" s="190">
        <f>'Kustannusarvio|Rakennusselostus'!F59</f>
        <v>0</v>
      </c>
      <c r="F64" s="190">
        <f>'Kustannusarvio|Rakennusselostus'!G59</f>
        <v>0</v>
      </c>
      <c r="G64" s="191">
        <f t="shared" si="2"/>
        <v>0</v>
      </c>
      <c r="H64" s="190">
        <f>'Kustannusarvio|Rakennusselostus'!I59</f>
        <v>0</v>
      </c>
      <c r="I64" s="190">
        <f>'Kustannusarvio|Rakennusselostus'!J59</f>
        <v>0</v>
      </c>
      <c r="J64" s="190">
        <f>'Kustannusarvio|Rakennusselostus'!K59</f>
        <v>0</v>
      </c>
      <c r="K64" s="191">
        <f t="shared" si="3"/>
        <v>0</v>
      </c>
      <c r="L64" s="11"/>
    </row>
    <row r="65" spans="1:12" x14ac:dyDescent="0.35">
      <c r="A65" s="12"/>
      <c r="B65" s="174" t="s">
        <v>50</v>
      </c>
      <c r="C65" s="175">
        <f>'Kustannusarvio|Rakennusselostus'!D60</f>
        <v>0</v>
      </c>
      <c r="D65" s="190">
        <f>'Kustannusarvio|Rakennusselostus'!E60</f>
        <v>0</v>
      </c>
      <c r="E65" s="190">
        <f>'Kustannusarvio|Rakennusselostus'!F60</f>
        <v>0</v>
      </c>
      <c r="F65" s="190">
        <f>'Kustannusarvio|Rakennusselostus'!G60</f>
        <v>0</v>
      </c>
      <c r="G65" s="191">
        <f t="shared" si="2"/>
        <v>0</v>
      </c>
      <c r="H65" s="190">
        <f>'Kustannusarvio|Rakennusselostus'!I60</f>
        <v>0</v>
      </c>
      <c r="I65" s="190">
        <f>'Kustannusarvio|Rakennusselostus'!J60</f>
        <v>0</v>
      </c>
      <c r="J65" s="190">
        <f>'Kustannusarvio|Rakennusselostus'!K60</f>
        <v>0</v>
      </c>
      <c r="K65" s="191">
        <f t="shared" si="3"/>
        <v>0</v>
      </c>
      <c r="L65" s="11"/>
    </row>
    <row r="66" spans="1:12" x14ac:dyDescent="0.35">
      <c r="A66" s="12"/>
      <c r="B66" s="174" t="s">
        <v>94</v>
      </c>
      <c r="C66" s="175">
        <f>'Kustannusarvio|Rakennusselostus'!D61</f>
        <v>0</v>
      </c>
      <c r="D66" s="190">
        <f>'Kustannusarvio|Rakennusselostus'!E61</f>
        <v>0</v>
      </c>
      <c r="E66" s="190">
        <f>'Kustannusarvio|Rakennusselostus'!F61</f>
        <v>0</v>
      </c>
      <c r="F66" s="190">
        <f>'Kustannusarvio|Rakennusselostus'!G61</f>
        <v>0</v>
      </c>
      <c r="G66" s="191">
        <f t="shared" si="2"/>
        <v>0</v>
      </c>
      <c r="H66" s="190">
        <f>'Kustannusarvio|Rakennusselostus'!I61</f>
        <v>0</v>
      </c>
      <c r="I66" s="190">
        <f>'Kustannusarvio|Rakennusselostus'!J61</f>
        <v>0</v>
      </c>
      <c r="J66" s="190">
        <f>'Kustannusarvio|Rakennusselostus'!K61</f>
        <v>0</v>
      </c>
      <c r="K66" s="191">
        <f t="shared" si="3"/>
        <v>0</v>
      </c>
      <c r="L66" s="11"/>
    </row>
    <row r="67" spans="1:12" x14ac:dyDescent="0.35">
      <c r="A67" s="12"/>
      <c r="B67" s="174" t="s">
        <v>118</v>
      </c>
      <c r="C67" s="175">
        <f>'Kustannusarvio|Rakennusselostus'!D62</f>
        <v>0</v>
      </c>
      <c r="D67" s="190">
        <f>'Kustannusarvio|Rakennusselostus'!E62</f>
        <v>0</v>
      </c>
      <c r="E67" s="190">
        <f>'Kustannusarvio|Rakennusselostus'!F62</f>
        <v>0</v>
      </c>
      <c r="F67" s="190">
        <f>'Kustannusarvio|Rakennusselostus'!G62</f>
        <v>0</v>
      </c>
      <c r="G67" s="191">
        <f t="shared" si="2"/>
        <v>0</v>
      </c>
      <c r="H67" s="190">
        <f>'Kustannusarvio|Rakennusselostus'!I62</f>
        <v>0</v>
      </c>
      <c r="I67" s="190">
        <f>'Kustannusarvio|Rakennusselostus'!J62</f>
        <v>0</v>
      </c>
      <c r="J67" s="190">
        <f>'Kustannusarvio|Rakennusselostus'!K62</f>
        <v>0</v>
      </c>
      <c r="K67" s="191">
        <f t="shared" si="3"/>
        <v>0</v>
      </c>
      <c r="L67" s="11"/>
    </row>
    <row r="68" spans="1:12" x14ac:dyDescent="0.35">
      <c r="A68" s="12"/>
      <c r="B68" s="174" t="s">
        <v>95</v>
      </c>
      <c r="C68" s="175">
        <f>'Kustannusarvio|Rakennusselostus'!D63</f>
        <v>0</v>
      </c>
      <c r="D68" s="190">
        <f>'Kustannusarvio|Rakennusselostus'!E63</f>
        <v>0</v>
      </c>
      <c r="E68" s="190">
        <f>'Kustannusarvio|Rakennusselostus'!F63</f>
        <v>0</v>
      </c>
      <c r="F68" s="190">
        <f>'Kustannusarvio|Rakennusselostus'!G63</f>
        <v>0</v>
      </c>
      <c r="G68" s="191">
        <f t="shared" si="2"/>
        <v>0</v>
      </c>
      <c r="H68" s="190">
        <f>'Kustannusarvio|Rakennusselostus'!I63</f>
        <v>0</v>
      </c>
      <c r="I68" s="190">
        <f>'Kustannusarvio|Rakennusselostus'!J63</f>
        <v>0</v>
      </c>
      <c r="J68" s="190">
        <f>'Kustannusarvio|Rakennusselostus'!K63</f>
        <v>0</v>
      </c>
      <c r="K68" s="191">
        <f t="shared" si="3"/>
        <v>0</v>
      </c>
      <c r="L68" s="11"/>
    </row>
    <row r="69" spans="1:12" x14ac:dyDescent="0.35">
      <c r="A69" s="12"/>
      <c r="B69" s="174" t="s">
        <v>18</v>
      </c>
      <c r="C69" s="175">
        <f>'Kustannusarvio|Rakennusselostus'!D64</f>
        <v>0</v>
      </c>
      <c r="D69" s="190">
        <f>'Kustannusarvio|Rakennusselostus'!E64</f>
        <v>0</v>
      </c>
      <c r="E69" s="190">
        <f>'Kustannusarvio|Rakennusselostus'!F64</f>
        <v>0</v>
      </c>
      <c r="F69" s="190">
        <f>'Kustannusarvio|Rakennusselostus'!G64</f>
        <v>0</v>
      </c>
      <c r="G69" s="191">
        <f t="shared" si="2"/>
        <v>0</v>
      </c>
      <c r="H69" s="190">
        <f>'Kustannusarvio|Rakennusselostus'!I64</f>
        <v>0</v>
      </c>
      <c r="I69" s="190">
        <f>'Kustannusarvio|Rakennusselostus'!J64</f>
        <v>0</v>
      </c>
      <c r="J69" s="190">
        <f>'Kustannusarvio|Rakennusselostus'!K64</f>
        <v>0</v>
      </c>
      <c r="K69" s="191">
        <f t="shared" si="3"/>
        <v>0</v>
      </c>
      <c r="L69" s="11"/>
    </row>
    <row r="70" spans="1:12" x14ac:dyDescent="0.35">
      <c r="A70" s="12"/>
      <c r="B70" s="174" t="s">
        <v>52</v>
      </c>
      <c r="C70" s="175">
        <f>'Kustannusarvio|Rakennusselostus'!D65</f>
        <v>0</v>
      </c>
      <c r="D70" s="190">
        <f>'Kustannusarvio|Rakennusselostus'!E65</f>
        <v>0</v>
      </c>
      <c r="E70" s="190">
        <f>'Kustannusarvio|Rakennusselostus'!F65</f>
        <v>0</v>
      </c>
      <c r="F70" s="190">
        <f>'Kustannusarvio|Rakennusselostus'!G65</f>
        <v>0</v>
      </c>
      <c r="G70" s="191">
        <f t="shared" si="2"/>
        <v>0</v>
      </c>
      <c r="H70" s="190">
        <f>'Kustannusarvio|Rakennusselostus'!I65</f>
        <v>0</v>
      </c>
      <c r="I70" s="190">
        <f>'Kustannusarvio|Rakennusselostus'!J65</f>
        <v>0</v>
      </c>
      <c r="J70" s="190">
        <f>'Kustannusarvio|Rakennusselostus'!K65</f>
        <v>0</v>
      </c>
      <c r="K70" s="191">
        <f t="shared" si="3"/>
        <v>0</v>
      </c>
      <c r="L70" s="11"/>
    </row>
    <row r="71" spans="1:12" x14ac:dyDescent="0.35">
      <c r="A71" s="12"/>
      <c r="B71" s="174" t="s">
        <v>218</v>
      </c>
      <c r="C71" s="175">
        <f>'Kustannusarvio|Rakennusselostus'!D66</f>
        <v>0</v>
      </c>
      <c r="D71" s="190">
        <f>'Kustannusarvio|Rakennusselostus'!E66</f>
        <v>0</v>
      </c>
      <c r="E71" s="190">
        <f>'Kustannusarvio|Rakennusselostus'!F66</f>
        <v>0</v>
      </c>
      <c r="F71" s="190">
        <f>'Kustannusarvio|Rakennusselostus'!G66</f>
        <v>0</v>
      </c>
      <c r="G71" s="191">
        <f t="shared" si="2"/>
        <v>0</v>
      </c>
      <c r="H71" s="190">
        <f>'Kustannusarvio|Rakennusselostus'!I66</f>
        <v>0</v>
      </c>
      <c r="I71" s="190">
        <f>'Kustannusarvio|Rakennusselostus'!J66</f>
        <v>0</v>
      </c>
      <c r="J71" s="190">
        <f>'Kustannusarvio|Rakennusselostus'!K66</f>
        <v>0</v>
      </c>
      <c r="K71" s="191">
        <f t="shared" si="3"/>
        <v>0</v>
      </c>
      <c r="L71" s="11"/>
    </row>
    <row r="72" spans="1:12" x14ac:dyDescent="0.35">
      <c r="A72" s="12"/>
      <c r="B72" s="174" t="s">
        <v>53</v>
      </c>
      <c r="C72" s="175">
        <f>'Kustannusarvio|Rakennusselostus'!D67</f>
        <v>0</v>
      </c>
      <c r="D72" s="190">
        <f>'Kustannusarvio|Rakennusselostus'!E67</f>
        <v>0</v>
      </c>
      <c r="E72" s="190">
        <f>'Kustannusarvio|Rakennusselostus'!F67</f>
        <v>0</v>
      </c>
      <c r="F72" s="190">
        <f>'Kustannusarvio|Rakennusselostus'!G67</f>
        <v>0</v>
      </c>
      <c r="G72" s="191">
        <f t="shared" si="2"/>
        <v>0</v>
      </c>
      <c r="H72" s="190">
        <f>'Kustannusarvio|Rakennusselostus'!I67</f>
        <v>0</v>
      </c>
      <c r="I72" s="190">
        <f>'Kustannusarvio|Rakennusselostus'!J67</f>
        <v>0</v>
      </c>
      <c r="J72" s="190">
        <f>'Kustannusarvio|Rakennusselostus'!K67</f>
        <v>0</v>
      </c>
      <c r="K72" s="191">
        <f t="shared" si="3"/>
        <v>0</v>
      </c>
      <c r="L72" s="11"/>
    </row>
    <row r="73" spans="1:12" x14ac:dyDescent="0.35">
      <c r="A73" s="12"/>
      <c r="B73" s="188" t="str">
        <f>SUBSTITUTE(IF('Kustannusarvio|Rakennusselostus'!C68="",'Kustannusarvio|Rakennusselostus'!B68,'Kustannusarvio|Rakennusselostus'!C68),":","")</f>
        <v>Muu korjaus</v>
      </c>
      <c r="C73" s="175">
        <f>'Kustannusarvio|Rakennusselostus'!D68</f>
        <v>0</v>
      </c>
      <c r="D73" s="190">
        <f>'Kustannusarvio|Rakennusselostus'!E68</f>
        <v>0</v>
      </c>
      <c r="E73" s="190">
        <f>'Kustannusarvio|Rakennusselostus'!F68</f>
        <v>0</v>
      </c>
      <c r="F73" s="190">
        <f>'Kustannusarvio|Rakennusselostus'!G68</f>
        <v>0</v>
      </c>
      <c r="G73" s="191">
        <f t="shared" si="2"/>
        <v>0</v>
      </c>
      <c r="H73" s="190">
        <f>'Kustannusarvio|Rakennusselostus'!I68</f>
        <v>0</v>
      </c>
      <c r="I73" s="190">
        <f>'Kustannusarvio|Rakennusselostus'!J68</f>
        <v>0</v>
      </c>
      <c r="J73" s="190">
        <f>'Kustannusarvio|Rakennusselostus'!K68</f>
        <v>0</v>
      </c>
      <c r="K73" s="191">
        <f t="shared" si="3"/>
        <v>0</v>
      </c>
      <c r="L73" s="11"/>
    </row>
    <row r="74" spans="1:12" x14ac:dyDescent="0.35">
      <c r="A74" s="10" t="s">
        <v>39</v>
      </c>
      <c r="B74" s="27"/>
      <c r="C74" s="291"/>
      <c r="D74" s="245"/>
      <c r="E74" s="246"/>
      <c r="F74" s="245"/>
      <c r="G74" s="248"/>
      <c r="H74" s="245"/>
      <c r="I74" s="245"/>
      <c r="J74" s="245"/>
      <c r="K74" s="247"/>
      <c r="L74" s="11"/>
    </row>
    <row r="75" spans="1:12" x14ac:dyDescent="0.35">
      <c r="A75" s="12"/>
      <c r="B75" s="174" t="s">
        <v>56</v>
      </c>
      <c r="C75" s="175">
        <f>'Kustannusarvio|Rakennusselostus'!D70</f>
        <v>0</v>
      </c>
      <c r="D75" s="190">
        <f>'Kustannusarvio|Rakennusselostus'!E70</f>
        <v>0</v>
      </c>
      <c r="E75" s="190">
        <f>'Kustannusarvio|Rakennusselostus'!F70</f>
        <v>0</v>
      </c>
      <c r="F75" s="190">
        <f>'Kustannusarvio|Rakennusselostus'!G70</f>
        <v>0</v>
      </c>
      <c r="G75" s="191">
        <f t="shared" si="2"/>
        <v>0</v>
      </c>
      <c r="H75" s="190">
        <f>'Kustannusarvio|Rakennusselostus'!I70</f>
        <v>0</v>
      </c>
      <c r="I75" s="190">
        <f>'Kustannusarvio|Rakennusselostus'!J70</f>
        <v>0</v>
      </c>
      <c r="J75" s="190">
        <f>'Kustannusarvio|Rakennusselostus'!K70</f>
        <v>0</v>
      </c>
      <c r="K75" s="191">
        <f t="shared" si="3"/>
        <v>0</v>
      </c>
      <c r="L75" s="11"/>
    </row>
    <row r="76" spans="1:12" x14ac:dyDescent="0.35">
      <c r="A76" s="12"/>
      <c r="B76" s="174" t="s">
        <v>55</v>
      </c>
      <c r="C76" s="175">
        <f>'Kustannusarvio|Rakennusselostus'!D71</f>
        <v>0</v>
      </c>
      <c r="D76" s="190">
        <f>'Kustannusarvio|Rakennusselostus'!E71</f>
        <v>0</v>
      </c>
      <c r="E76" s="190">
        <f>'Kustannusarvio|Rakennusselostus'!F71</f>
        <v>0</v>
      </c>
      <c r="F76" s="190">
        <f>'Kustannusarvio|Rakennusselostus'!G71</f>
        <v>0</v>
      </c>
      <c r="G76" s="191">
        <f t="shared" si="2"/>
        <v>0</v>
      </c>
      <c r="H76" s="190">
        <f>'Kustannusarvio|Rakennusselostus'!I71</f>
        <v>0</v>
      </c>
      <c r="I76" s="190">
        <f>'Kustannusarvio|Rakennusselostus'!J71</f>
        <v>0</v>
      </c>
      <c r="J76" s="190">
        <f>'Kustannusarvio|Rakennusselostus'!K71</f>
        <v>0</v>
      </c>
      <c r="K76" s="191">
        <f t="shared" si="3"/>
        <v>0</v>
      </c>
      <c r="L76" s="11"/>
    </row>
    <row r="77" spans="1:12" x14ac:dyDescent="0.35">
      <c r="A77" s="12"/>
      <c r="B77" s="174" t="s">
        <v>54</v>
      </c>
      <c r="C77" s="175">
        <f>'Kustannusarvio|Rakennusselostus'!D72</f>
        <v>0</v>
      </c>
      <c r="D77" s="190">
        <f>'Kustannusarvio|Rakennusselostus'!E72</f>
        <v>0</v>
      </c>
      <c r="E77" s="190">
        <f>'Kustannusarvio|Rakennusselostus'!F72</f>
        <v>0</v>
      </c>
      <c r="F77" s="190">
        <f>'Kustannusarvio|Rakennusselostus'!G72</f>
        <v>0</v>
      </c>
      <c r="G77" s="191">
        <f t="shared" si="2"/>
        <v>0</v>
      </c>
      <c r="H77" s="190">
        <f>'Kustannusarvio|Rakennusselostus'!I72</f>
        <v>0</v>
      </c>
      <c r="I77" s="190">
        <f>'Kustannusarvio|Rakennusselostus'!J72</f>
        <v>0</v>
      </c>
      <c r="J77" s="190">
        <f>'Kustannusarvio|Rakennusselostus'!K72</f>
        <v>0</v>
      </c>
      <c r="K77" s="191">
        <f t="shared" si="3"/>
        <v>0</v>
      </c>
      <c r="L77" s="11"/>
    </row>
    <row r="78" spans="1:12" x14ac:dyDescent="0.35">
      <c r="A78" s="12"/>
      <c r="B78" s="174" t="s">
        <v>57</v>
      </c>
      <c r="C78" s="175">
        <f>'Kustannusarvio|Rakennusselostus'!D73</f>
        <v>0</v>
      </c>
      <c r="D78" s="190">
        <f>'Kustannusarvio|Rakennusselostus'!E73</f>
        <v>0</v>
      </c>
      <c r="E78" s="190">
        <f>'Kustannusarvio|Rakennusselostus'!F73</f>
        <v>0</v>
      </c>
      <c r="F78" s="190">
        <f>'Kustannusarvio|Rakennusselostus'!G73</f>
        <v>0</v>
      </c>
      <c r="G78" s="191">
        <f t="shared" si="2"/>
        <v>0</v>
      </c>
      <c r="H78" s="190">
        <f>'Kustannusarvio|Rakennusselostus'!I73</f>
        <v>0</v>
      </c>
      <c r="I78" s="190">
        <f>'Kustannusarvio|Rakennusselostus'!J73</f>
        <v>0</v>
      </c>
      <c r="J78" s="190">
        <f>'Kustannusarvio|Rakennusselostus'!K73</f>
        <v>0</v>
      </c>
      <c r="K78" s="191">
        <f t="shared" si="3"/>
        <v>0</v>
      </c>
      <c r="L78" s="11"/>
    </row>
    <row r="79" spans="1:12" x14ac:dyDescent="0.35">
      <c r="A79" s="12"/>
      <c r="B79" s="174" t="s">
        <v>101</v>
      </c>
      <c r="C79" s="175">
        <f>'Kustannusarvio|Rakennusselostus'!D74</f>
        <v>0</v>
      </c>
      <c r="D79" s="190">
        <f>'Kustannusarvio|Rakennusselostus'!E74</f>
        <v>0</v>
      </c>
      <c r="E79" s="190">
        <f>'Kustannusarvio|Rakennusselostus'!F74</f>
        <v>0</v>
      </c>
      <c r="F79" s="190">
        <f>'Kustannusarvio|Rakennusselostus'!G74</f>
        <v>0</v>
      </c>
      <c r="G79" s="191">
        <f t="shared" si="2"/>
        <v>0</v>
      </c>
      <c r="H79" s="190">
        <f>'Kustannusarvio|Rakennusselostus'!I74</f>
        <v>0</v>
      </c>
      <c r="I79" s="190">
        <f>'Kustannusarvio|Rakennusselostus'!J74</f>
        <v>0</v>
      </c>
      <c r="J79" s="190">
        <f>'Kustannusarvio|Rakennusselostus'!K74</f>
        <v>0</v>
      </c>
      <c r="K79" s="191">
        <f t="shared" si="3"/>
        <v>0</v>
      </c>
      <c r="L79" s="11"/>
    </row>
    <row r="80" spans="1:12" x14ac:dyDescent="0.35">
      <c r="A80" s="12"/>
      <c r="B80" s="174" t="s">
        <v>58</v>
      </c>
      <c r="C80" s="175">
        <f>'Kustannusarvio|Rakennusselostus'!D75</f>
        <v>0</v>
      </c>
      <c r="D80" s="190">
        <f>'Kustannusarvio|Rakennusselostus'!E75</f>
        <v>0</v>
      </c>
      <c r="E80" s="190">
        <f>'Kustannusarvio|Rakennusselostus'!F75</f>
        <v>0</v>
      </c>
      <c r="F80" s="190">
        <f>'Kustannusarvio|Rakennusselostus'!G75</f>
        <v>0</v>
      </c>
      <c r="G80" s="191">
        <f t="shared" si="2"/>
        <v>0</v>
      </c>
      <c r="H80" s="190">
        <f>'Kustannusarvio|Rakennusselostus'!I75</f>
        <v>0</v>
      </c>
      <c r="I80" s="190">
        <f>'Kustannusarvio|Rakennusselostus'!J75</f>
        <v>0</v>
      </c>
      <c r="J80" s="190">
        <f>'Kustannusarvio|Rakennusselostus'!K75</f>
        <v>0</v>
      </c>
      <c r="K80" s="191">
        <f t="shared" si="3"/>
        <v>0</v>
      </c>
      <c r="L80" s="11"/>
    </row>
    <row r="81" spans="1:12" x14ac:dyDescent="0.35">
      <c r="A81" s="12"/>
      <c r="B81" s="174" t="s">
        <v>102</v>
      </c>
      <c r="C81" s="175">
        <f>'Kustannusarvio|Rakennusselostus'!D76</f>
        <v>0</v>
      </c>
      <c r="D81" s="190">
        <f>'Kustannusarvio|Rakennusselostus'!E76</f>
        <v>0</v>
      </c>
      <c r="E81" s="190">
        <f>'Kustannusarvio|Rakennusselostus'!F76</f>
        <v>0</v>
      </c>
      <c r="F81" s="190">
        <f>'Kustannusarvio|Rakennusselostus'!G76</f>
        <v>0</v>
      </c>
      <c r="G81" s="191">
        <f t="shared" si="2"/>
        <v>0</v>
      </c>
      <c r="H81" s="190">
        <f>'Kustannusarvio|Rakennusselostus'!I76</f>
        <v>0</v>
      </c>
      <c r="I81" s="190">
        <f>'Kustannusarvio|Rakennusselostus'!J76</f>
        <v>0</v>
      </c>
      <c r="J81" s="190">
        <f>'Kustannusarvio|Rakennusselostus'!K76</f>
        <v>0</v>
      </c>
      <c r="K81" s="191">
        <f t="shared" si="3"/>
        <v>0</v>
      </c>
      <c r="L81" s="11"/>
    </row>
    <row r="82" spans="1:12" x14ac:dyDescent="0.35">
      <c r="A82" s="12"/>
      <c r="B82" s="188" t="str">
        <f>SUBSTITUTE(IF('Kustannusarvio|Rakennusselostus'!C77="",'Kustannusarvio|Rakennusselostus'!B77,'Kustannusarvio|Rakennusselostus'!C77),":","")</f>
        <v>Muu korjaus</v>
      </c>
      <c r="C82" s="175">
        <f>'Kustannusarvio|Rakennusselostus'!D77</f>
        <v>0</v>
      </c>
      <c r="D82" s="190">
        <f>'Kustannusarvio|Rakennusselostus'!E77</f>
        <v>0</v>
      </c>
      <c r="E82" s="190">
        <f>'Kustannusarvio|Rakennusselostus'!F77</f>
        <v>0</v>
      </c>
      <c r="F82" s="190">
        <f>'Kustannusarvio|Rakennusselostus'!G77</f>
        <v>0</v>
      </c>
      <c r="G82" s="191">
        <f t="shared" si="2"/>
        <v>0</v>
      </c>
      <c r="H82" s="190">
        <f>'Kustannusarvio|Rakennusselostus'!I77</f>
        <v>0</v>
      </c>
      <c r="I82" s="190">
        <f>'Kustannusarvio|Rakennusselostus'!J77</f>
        <v>0</v>
      </c>
      <c r="J82" s="190">
        <f>'Kustannusarvio|Rakennusselostus'!K77</f>
        <v>0</v>
      </c>
      <c r="K82" s="191">
        <f t="shared" si="3"/>
        <v>0</v>
      </c>
      <c r="L82" s="11"/>
    </row>
    <row r="83" spans="1:12" x14ac:dyDescent="0.35">
      <c r="A83" s="10" t="s">
        <v>59</v>
      </c>
      <c r="B83" s="27"/>
      <c r="C83" s="291"/>
      <c r="D83" s="245"/>
      <c r="E83" s="246"/>
      <c r="F83" s="245"/>
      <c r="G83" s="248"/>
      <c r="H83" s="245"/>
      <c r="I83" s="245"/>
      <c r="J83" s="245"/>
      <c r="K83" s="247"/>
      <c r="L83" s="11"/>
    </row>
    <row r="84" spans="1:12" x14ac:dyDescent="0.35">
      <c r="A84" s="12"/>
      <c r="B84" s="174" t="s">
        <v>103</v>
      </c>
      <c r="C84" s="175">
        <f>'Kustannusarvio|Rakennusselostus'!D79</f>
        <v>0</v>
      </c>
      <c r="D84" s="190">
        <f>'Kustannusarvio|Rakennusselostus'!E79</f>
        <v>0</v>
      </c>
      <c r="E84" s="190">
        <f>'Kustannusarvio|Rakennusselostus'!F79</f>
        <v>0</v>
      </c>
      <c r="F84" s="190">
        <f>'Kustannusarvio|Rakennusselostus'!G79</f>
        <v>0</v>
      </c>
      <c r="G84" s="191">
        <f t="shared" si="2"/>
        <v>0</v>
      </c>
      <c r="H84" s="190">
        <f>'Kustannusarvio|Rakennusselostus'!I79</f>
        <v>0</v>
      </c>
      <c r="I84" s="190">
        <f>'Kustannusarvio|Rakennusselostus'!J79</f>
        <v>0</v>
      </c>
      <c r="J84" s="190">
        <f>'Kustannusarvio|Rakennusselostus'!K79</f>
        <v>0</v>
      </c>
      <c r="K84" s="191">
        <f t="shared" si="3"/>
        <v>0</v>
      </c>
      <c r="L84" s="11"/>
    </row>
    <row r="85" spans="1:12" x14ac:dyDescent="0.35">
      <c r="A85" s="12"/>
      <c r="B85" s="174" t="s">
        <v>104</v>
      </c>
      <c r="C85" s="175">
        <f>'Kustannusarvio|Rakennusselostus'!D80</f>
        <v>0</v>
      </c>
      <c r="D85" s="190">
        <f>'Kustannusarvio|Rakennusselostus'!E80</f>
        <v>0</v>
      </c>
      <c r="E85" s="190">
        <f>'Kustannusarvio|Rakennusselostus'!F80</f>
        <v>0</v>
      </c>
      <c r="F85" s="190">
        <f>'Kustannusarvio|Rakennusselostus'!G80</f>
        <v>0</v>
      </c>
      <c r="G85" s="191">
        <f t="shared" si="2"/>
        <v>0</v>
      </c>
      <c r="H85" s="190">
        <f>'Kustannusarvio|Rakennusselostus'!I80</f>
        <v>0</v>
      </c>
      <c r="I85" s="190">
        <f>'Kustannusarvio|Rakennusselostus'!J80</f>
        <v>0</v>
      </c>
      <c r="J85" s="190">
        <f>'Kustannusarvio|Rakennusselostus'!K80</f>
        <v>0</v>
      </c>
      <c r="K85" s="191">
        <f t="shared" si="3"/>
        <v>0</v>
      </c>
      <c r="L85" s="11"/>
    </row>
    <row r="86" spans="1:12" x14ac:dyDescent="0.35">
      <c r="A86" s="12"/>
      <c r="B86" s="174" t="s">
        <v>69</v>
      </c>
      <c r="C86" s="175">
        <f>'Kustannusarvio|Rakennusselostus'!D81</f>
        <v>0</v>
      </c>
      <c r="D86" s="190">
        <f>'Kustannusarvio|Rakennusselostus'!E81</f>
        <v>0</v>
      </c>
      <c r="E86" s="190">
        <f>'Kustannusarvio|Rakennusselostus'!F81</f>
        <v>0</v>
      </c>
      <c r="F86" s="190">
        <f>'Kustannusarvio|Rakennusselostus'!G81</f>
        <v>0</v>
      </c>
      <c r="G86" s="191">
        <f t="shared" si="2"/>
        <v>0</v>
      </c>
      <c r="H86" s="190">
        <f>'Kustannusarvio|Rakennusselostus'!I81</f>
        <v>0</v>
      </c>
      <c r="I86" s="190">
        <f>'Kustannusarvio|Rakennusselostus'!J81</f>
        <v>0</v>
      </c>
      <c r="J86" s="190">
        <f>'Kustannusarvio|Rakennusselostus'!K81</f>
        <v>0</v>
      </c>
      <c r="K86" s="191">
        <f t="shared" si="3"/>
        <v>0</v>
      </c>
      <c r="L86" s="11"/>
    </row>
    <row r="87" spans="1:12" x14ac:dyDescent="0.35">
      <c r="A87" s="12"/>
      <c r="B87" s="188" t="str">
        <f>SUBSTITUTE(IF('Kustannusarvio|Rakennusselostus'!C82="",'Kustannusarvio|Rakennusselostus'!B82,'Kustannusarvio|Rakennusselostus'!C82),":","")</f>
        <v>Muu korjaus</v>
      </c>
      <c r="C87" s="175">
        <f>'Kustannusarvio|Rakennusselostus'!D82</f>
        <v>0</v>
      </c>
      <c r="D87" s="190">
        <f>'Kustannusarvio|Rakennusselostus'!E82</f>
        <v>0</v>
      </c>
      <c r="E87" s="190">
        <f>'Kustannusarvio|Rakennusselostus'!F82</f>
        <v>0</v>
      </c>
      <c r="F87" s="190">
        <f>'Kustannusarvio|Rakennusselostus'!G82</f>
        <v>0</v>
      </c>
      <c r="G87" s="191">
        <f t="shared" si="2"/>
        <v>0</v>
      </c>
      <c r="H87" s="190">
        <f>'Kustannusarvio|Rakennusselostus'!I82</f>
        <v>0</v>
      </c>
      <c r="I87" s="190">
        <f>'Kustannusarvio|Rakennusselostus'!J82</f>
        <v>0</v>
      </c>
      <c r="J87" s="190">
        <f>'Kustannusarvio|Rakennusselostus'!K82</f>
        <v>0</v>
      </c>
      <c r="K87" s="191">
        <f t="shared" si="3"/>
        <v>0</v>
      </c>
      <c r="L87" s="11"/>
    </row>
    <row r="88" spans="1:12" x14ac:dyDescent="0.35">
      <c r="A88" s="10" t="s">
        <v>60</v>
      </c>
      <c r="B88" s="27"/>
      <c r="C88" s="291"/>
      <c r="D88" s="245"/>
      <c r="E88" s="246"/>
      <c r="F88" s="245"/>
      <c r="G88" s="248"/>
      <c r="H88" s="245"/>
      <c r="I88" s="245"/>
      <c r="J88" s="245"/>
      <c r="K88" s="247"/>
      <c r="L88" s="11"/>
    </row>
    <row r="89" spans="1:12" x14ac:dyDescent="0.35">
      <c r="A89" s="12"/>
      <c r="B89" s="174" t="s">
        <v>17</v>
      </c>
      <c r="C89" s="175">
        <f>'Kustannusarvio|Rakennusselostus'!D84</f>
        <v>0</v>
      </c>
      <c r="D89" s="190">
        <f>'Kustannusarvio|Rakennusselostus'!E84</f>
        <v>0</v>
      </c>
      <c r="E89" s="190">
        <f>'Kustannusarvio|Rakennusselostus'!F84</f>
        <v>0</v>
      </c>
      <c r="F89" s="190">
        <f>'Kustannusarvio|Rakennusselostus'!G84</f>
        <v>0</v>
      </c>
      <c r="G89" s="191">
        <f t="shared" si="2"/>
        <v>0</v>
      </c>
      <c r="H89" s="190">
        <f>'Kustannusarvio|Rakennusselostus'!I84</f>
        <v>0</v>
      </c>
      <c r="I89" s="190">
        <f>'Kustannusarvio|Rakennusselostus'!J84</f>
        <v>0</v>
      </c>
      <c r="J89" s="190">
        <f>'Kustannusarvio|Rakennusselostus'!K84</f>
        <v>0</v>
      </c>
      <c r="K89" s="191">
        <f t="shared" si="3"/>
        <v>0</v>
      </c>
      <c r="L89" s="11"/>
    </row>
    <row r="90" spans="1:12" x14ac:dyDescent="0.35">
      <c r="A90" s="12"/>
      <c r="B90" s="174" t="s">
        <v>61</v>
      </c>
      <c r="C90" s="175">
        <f>'Kustannusarvio|Rakennusselostus'!D85</f>
        <v>0</v>
      </c>
      <c r="D90" s="190">
        <f>'Kustannusarvio|Rakennusselostus'!E85</f>
        <v>0</v>
      </c>
      <c r="E90" s="190">
        <f>'Kustannusarvio|Rakennusselostus'!F85</f>
        <v>0</v>
      </c>
      <c r="F90" s="190">
        <f>'Kustannusarvio|Rakennusselostus'!G85</f>
        <v>0</v>
      </c>
      <c r="G90" s="191">
        <f t="shared" si="2"/>
        <v>0</v>
      </c>
      <c r="H90" s="190">
        <f>'Kustannusarvio|Rakennusselostus'!I85</f>
        <v>0</v>
      </c>
      <c r="I90" s="190">
        <f>'Kustannusarvio|Rakennusselostus'!J85</f>
        <v>0</v>
      </c>
      <c r="J90" s="190">
        <f>'Kustannusarvio|Rakennusselostus'!K85</f>
        <v>0</v>
      </c>
      <c r="K90" s="191">
        <f t="shared" si="3"/>
        <v>0</v>
      </c>
      <c r="L90" s="11"/>
    </row>
    <row r="91" spans="1:12" x14ac:dyDescent="0.35">
      <c r="A91" s="12"/>
      <c r="B91" s="174" t="s">
        <v>62</v>
      </c>
      <c r="C91" s="175">
        <f>'Kustannusarvio|Rakennusselostus'!D86</f>
        <v>0</v>
      </c>
      <c r="D91" s="190">
        <f>'Kustannusarvio|Rakennusselostus'!E86</f>
        <v>0</v>
      </c>
      <c r="E91" s="190">
        <f>'Kustannusarvio|Rakennusselostus'!F86</f>
        <v>0</v>
      </c>
      <c r="F91" s="190">
        <f>'Kustannusarvio|Rakennusselostus'!G86</f>
        <v>0</v>
      </c>
      <c r="G91" s="191">
        <f t="shared" si="2"/>
        <v>0</v>
      </c>
      <c r="H91" s="190">
        <f>'Kustannusarvio|Rakennusselostus'!I86</f>
        <v>0</v>
      </c>
      <c r="I91" s="190">
        <f>'Kustannusarvio|Rakennusselostus'!J86</f>
        <v>0</v>
      </c>
      <c r="J91" s="190">
        <f>'Kustannusarvio|Rakennusselostus'!K86</f>
        <v>0</v>
      </c>
      <c r="K91" s="191">
        <f t="shared" si="3"/>
        <v>0</v>
      </c>
      <c r="L91" s="11"/>
    </row>
    <row r="92" spans="1:12" x14ac:dyDescent="0.35">
      <c r="A92" s="12"/>
      <c r="B92" s="174" t="s">
        <v>105</v>
      </c>
      <c r="C92" s="175">
        <f>'Kustannusarvio|Rakennusselostus'!D87</f>
        <v>0</v>
      </c>
      <c r="D92" s="190">
        <f>'Kustannusarvio|Rakennusselostus'!E87</f>
        <v>0</v>
      </c>
      <c r="E92" s="190">
        <f>'Kustannusarvio|Rakennusselostus'!F87</f>
        <v>0</v>
      </c>
      <c r="F92" s="190">
        <f>'Kustannusarvio|Rakennusselostus'!G87</f>
        <v>0</v>
      </c>
      <c r="G92" s="191">
        <f t="shared" si="2"/>
        <v>0</v>
      </c>
      <c r="H92" s="190">
        <f>'Kustannusarvio|Rakennusselostus'!I87</f>
        <v>0</v>
      </c>
      <c r="I92" s="190">
        <f>'Kustannusarvio|Rakennusselostus'!J87</f>
        <v>0</v>
      </c>
      <c r="J92" s="190">
        <f>'Kustannusarvio|Rakennusselostus'!K87</f>
        <v>0</v>
      </c>
      <c r="K92" s="191">
        <f t="shared" si="3"/>
        <v>0</v>
      </c>
      <c r="L92" s="11"/>
    </row>
    <row r="93" spans="1:12" x14ac:dyDescent="0.35">
      <c r="A93" s="12"/>
      <c r="B93" s="174" t="s">
        <v>70</v>
      </c>
      <c r="C93" s="175">
        <f>'Kustannusarvio|Rakennusselostus'!D88</f>
        <v>0</v>
      </c>
      <c r="D93" s="190">
        <f>'Kustannusarvio|Rakennusselostus'!E88</f>
        <v>0</v>
      </c>
      <c r="E93" s="190">
        <f>'Kustannusarvio|Rakennusselostus'!F88</f>
        <v>0</v>
      </c>
      <c r="F93" s="190">
        <f>'Kustannusarvio|Rakennusselostus'!G88</f>
        <v>0</v>
      </c>
      <c r="G93" s="191">
        <f t="shared" si="2"/>
        <v>0</v>
      </c>
      <c r="H93" s="190">
        <f>'Kustannusarvio|Rakennusselostus'!I88</f>
        <v>0</v>
      </c>
      <c r="I93" s="190">
        <f>'Kustannusarvio|Rakennusselostus'!J88</f>
        <v>0</v>
      </c>
      <c r="J93" s="190">
        <f>'Kustannusarvio|Rakennusselostus'!K88</f>
        <v>0</v>
      </c>
      <c r="K93" s="191">
        <f t="shared" si="3"/>
        <v>0</v>
      </c>
      <c r="L93" s="11"/>
    </row>
    <row r="94" spans="1:12" x14ac:dyDescent="0.35">
      <c r="A94" s="12"/>
      <c r="B94" s="174" t="s">
        <v>106</v>
      </c>
      <c r="C94" s="175">
        <f>'Kustannusarvio|Rakennusselostus'!D89</f>
        <v>0</v>
      </c>
      <c r="D94" s="190">
        <f>'Kustannusarvio|Rakennusselostus'!E89</f>
        <v>0</v>
      </c>
      <c r="E94" s="190">
        <f>'Kustannusarvio|Rakennusselostus'!F89</f>
        <v>0</v>
      </c>
      <c r="F94" s="190">
        <f>'Kustannusarvio|Rakennusselostus'!G89</f>
        <v>0</v>
      </c>
      <c r="G94" s="191">
        <f t="shared" si="2"/>
        <v>0</v>
      </c>
      <c r="H94" s="190">
        <f>'Kustannusarvio|Rakennusselostus'!I89</f>
        <v>0</v>
      </c>
      <c r="I94" s="190">
        <f>'Kustannusarvio|Rakennusselostus'!J89</f>
        <v>0</v>
      </c>
      <c r="J94" s="190">
        <f>'Kustannusarvio|Rakennusselostus'!K89</f>
        <v>0</v>
      </c>
      <c r="K94" s="191">
        <f t="shared" si="3"/>
        <v>0</v>
      </c>
      <c r="L94" s="11"/>
    </row>
    <row r="95" spans="1:12" x14ac:dyDescent="0.35">
      <c r="A95" s="12"/>
      <c r="B95" s="174" t="s">
        <v>63</v>
      </c>
      <c r="C95" s="175">
        <f>'Kustannusarvio|Rakennusselostus'!D90</f>
        <v>0</v>
      </c>
      <c r="D95" s="190">
        <f>'Kustannusarvio|Rakennusselostus'!E90</f>
        <v>0</v>
      </c>
      <c r="E95" s="190">
        <f>'Kustannusarvio|Rakennusselostus'!F90</f>
        <v>0</v>
      </c>
      <c r="F95" s="190">
        <f>'Kustannusarvio|Rakennusselostus'!G90</f>
        <v>0</v>
      </c>
      <c r="G95" s="191">
        <f t="shared" si="2"/>
        <v>0</v>
      </c>
      <c r="H95" s="190">
        <f>'Kustannusarvio|Rakennusselostus'!I90</f>
        <v>0</v>
      </c>
      <c r="I95" s="190">
        <f>'Kustannusarvio|Rakennusselostus'!J90</f>
        <v>0</v>
      </c>
      <c r="J95" s="190">
        <f>'Kustannusarvio|Rakennusselostus'!K90</f>
        <v>0</v>
      </c>
      <c r="K95" s="191">
        <f t="shared" si="3"/>
        <v>0</v>
      </c>
      <c r="L95" s="11"/>
    </row>
    <row r="96" spans="1:12" x14ac:dyDescent="0.35">
      <c r="A96" s="12"/>
      <c r="B96" s="174" t="s">
        <v>64</v>
      </c>
      <c r="C96" s="175">
        <f>'Kustannusarvio|Rakennusselostus'!D91</f>
        <v>0</v>
      </c>
      <c r="D96" s="190">
        <f>'Kustannusarvio|Rakennusselostus'!E91</f>
        <v>0</v>
      </c>
      <c r="E96" s="190">
        <f>'Kustannusarvio|Rakennusselostus'!F91</f>
        <v>0</v>
      </c>
      <c r="F96" s="190">
        <f>'Kustannusarvio|Rakennusselostus'!G91</f>
        <v>0</v>
      </c>
      <c r="G96" s="191">
        <f t="shared" si="2"/>
        <v>0</v>
      </c>
      <c r="H96" s="190">
        <f>'Kustannusarvio|Rakennusselostus'!I91</f>
        <v>0</v>
      </c>
      <c r="I96" s="190">
        <f>'Kustannusarvio|Rakennusselostus'!J91</f>
        <v>0</v>
      </c>
      <c r="J96" s="190">
        <f>'Kustannusarvio|Rakennusselostus'!K91</f>
        <v>0</v>
      </c>
      <c r="K96" s="191">
        <f t="shared" si="3"/>
        <v>0</v>
      </c>
      <c r="L96" s="11"/>
    </row>
    <row r="97" spans="1:12" x14ac:dyDescent="0.35">
      <c r="A97" s="12"/>
      <c r="B97" s="174" t="s">
        <v>250</v>
      </c>
      <c r="C97" s="175">
        <f>'Kustannusarvio|Rakennusselostus'!D92</f>
        <v>0</v>
      </c>
      <c r="D97" s="190">
        <f>'Kustannusarvio|Rakennusselostus'!E92</f>
        <v>0</v>
      </c>
      <c r="E97" s="190">
        <f>'Kustannusarvio|Rakennusselostus'!F92</f>
        <v>0</v>
      </c>
      <c r="F97" s="190">
        <f>'Kustannusarvio|Rakennusselostus'!G92</f>
        <v>0</v>
      </c>
      <c r="G97" s="191">
        <f t="shared" si="2"/>
        <v>0</v>
      </c>
      <c r="H97" s="190">
        <f>'Kustannusarvio|Rakennusselostus'!I92</f>
        <v>0</v>
      </c>
      <c r="I97" s="190">
        <f>'Kustannusarvio|Rakennusselostus'!J92</f>
        <v>0</v>
      </c>
      <c r="J97" s="190">
        <f>'Kustannusarvio|Rakennusselostus'!K92</f>
        <v>0</v>
      </c>
      <c r="K97" s="191">
        <f t="shared" si="3"/>
        <v>0</v>
      </c>
      <c r="L97" s="11"/>
    </row>
    <row r="98" spans="1:12" x14ac:dyDescent="0.35">
      <c r="A98" s="12"/>
      <c r="B98" s="174" t="s">
        <v>119</v>
      </c>
      <c r="C98" s="175">
        <f>'Kustannusarvio|Rakennusselostus'!D93</f>
        <v>0</v>
      </c>
      <c r="D98" s="190">
        <f>'Kustannusarvio|Rakennusselostus'!E93</f>
        <v>0</v>
      </c>
      <c r="E98" s="190">
        <f>'Kustannusarvio|Rakennusselostus'!F93</f>
        <v>0</v>
      </c>
      <c r="F98" s="190">
        <f>'Kustannusarvio|Rakennusselostus'!G93</f>
        <v>0</v>
      </c>
      <c r="G98" s="191">
        <f t="shared" si="2"/>
        <v>0</v>
      </c>
      <c r="H98" s="190">
        <f>'Kustannusarvio|Rakennusselostus'!I93</f>
        <v>0</v>
      </c>
      <c r="I98" s="190">
        <f>'Kustannusarvio|Rakennusselostus'!J93</f>
        <v>0</v>
      </c>
      <c r="J98" s="190">
        <f>'Kustannusarvio|Rakennusselostus'!K93</f>
        <v>0</v>
      </c>
      <c r="K98" s="191">
        <f t="shared" si="3"/>
        <v>0</v>
      </c>
      <c r="L98" s="11"/>
    </row>
    <row r="99" spans="1:12" x14ac:dyDescent="0.35">
      <c r="A99" s="12"/>
      <c r="B99" s="174" t="s">
        <v>65</v>
      </c>
      <c r="C99" s="175">
        <f>'Kustannusarvio|Rakennusselostus'!D94</f>
        <v>0</v>
      </c>
      <c r="D99" s="190">
        <f>'Kustannusarvio|Rakennusselostus'!E94</f>
        <v>0</v>
      </c>
      <c r="E99" s="190">
        <f>'Kustannusarvio|Rakennusselostus'!F94</f>
        <v>0</v>
      </c>
      <c r="F99" s="190">
        <f>'Kustannusarvio|Rakennusselostus'!G94</f>
        <v>0</v>
      </c>
      <c r="G99" s="191">
        <f t="shared" si="2"/>
        <v>0</v>
      </c>
      <c r="H99" s="190">
        <f>'Kustannusarvio|Rakennusselostus'!I94</f>
        <v>0</v>
      </c>
      <c r="I99" s="190">
        <f>'Kustannusarvio|Rakennusselostus'!J94</f>
        <v>0</v>
      </c>
      <c r="J99" s="190">
        <f>'Kustannusarvio|Rakennusselostus'!K94</f>
        <v>0</v>
      </c>
      <c r="K99" s="191">
        <f t="shared" si="3"/>
        <v>0</v>
      </c>
      <c r="L99" s="11"/>
    </row>
    <row r="100" spans="1:12" x14ac:dyDescent="0.35">
      <c r="A100" s="12"/>
      <c r="B100" s="174" t="s">
        <v>107</v>
      </c>
      <c r="C100" s="175">
        <f>'Kustannusarvio|Rakennusselostus'!D95</f>
        <v>0</v>
      </c>
      <c r="D100" s="190">
        <f>'Kustannusarvio|Rakennusselostus'!E95</f>
        <v>0</v>
      </c>
      <c r="E100" s="190">
        <f>'Kustannusarvio|Rakennusselostus'!F95</f>
        <v>0</v>
      </c>
      <c r="F100" s="190">
        <f>'Kustannusarvio|Rakennusselostus'!G95</f>
        <v>0</v>
      </c>
      <c r="G100" s="191">
        <f t="shared" si="2"/>
        <v>0</v>
      </c>
      <c r="H100" s="190">
        <f>'Kustannusarvio|Rakennusselostus'!I95</f>
        <v>0</v>
      </c>
      <c r="I100" s="190">
        <f>'Kustannusarvio|Rakennusselostus'!J95</f>
        <v>0</v>
      </c>
      <c r="J100" s="190">
        <f>'Kustannusarvio|Rakennusselostus'!K95</f>
        <v>0</v>
      </c>
      <c r="K100" s="191">
        <f t="shared" si="3"/>
        <v>0</v>
      </c>
      <c r="L100" s="11"/>
    </row>
    <row r="101" spans="1:12" x14ac:dyDescent="0.35">
      <c r="A101" s="12"/>
      <c r="B101" s="188" t="str">
        <f>SUBSTITUTE(IF('Kustannusarvio|Rakennusselostus'!C96="",'Kustannusarvio|Rakennusselostus'!B96,'Kustannusarvio|Rakennusselostus'!C96),":","")</f>
        <v>Muu korjaus</v>
      </c>
      <c r="C101" s="175">
        <f>'Kustannusarvio|Rakennusselostus'!D96</f>
        <v>0</v>
      </c>
      <c r="D101" s="190">
        <f>'Kustannusarvio|Rakennusselostus'!E96</f>
        <v>0</v>
      </c>
      <c r="E101" s="190">
        <f>'Kustannusarvio|Rakennusselostus'!F96</f>
        <v>0</v>
      </c>
      <c r="F101" s="190">
        <f>'Kustannusarvio|Rakennusselostus'!G96</f>
        <v>0</v>
      </c>
      <c r="G101" s="191">
        <f t="shared" si="2"/>
        <v>0</v>
      </c>
      <c r="H101" s="190">
        <f>'Kustannusarvio|Rakennusselostus'!I96</f>
        <v>0</v>
      </c>
      <c r="I101" s="190">
        <f>'Kustannusarvio|Rakennusselostus'!J96</f>
        <v>0</v>
      </c>
      <c r="J101" s="190">
        <f>'Kustannusarvio|Rakennusselostus'!K96</f>
        <v>0</v>
      </c>
      <c r="K101" s="191">
        <f t="shared" si="3"/>
        <v>0</v>
      </c>
      <c r="L101" s="11"/>
    </row>
    <row r="102" spans="1:12" x14ac:dyDescent="0.35">
      <c r="A102" s="10" t="s">
        <v>68</v>
      </c>
      <c r="B102" s="27"/>
      <c r="C102" s="291"/>
      <c r="D102" s="245"/>
      <c r="E102" s="246"/>
      <c r="F102" s="245"/>
      <c r="G102" s="248"/>
      <c r="H102" s="245"/>
      <c r="I102" s="245"/>
      <c r="J102" s="245"/>
      <c r="K102" s="247"/>
      <c r="L102" s="11"/>
    </row>
    <row r="103" spans="1:12" x14ac:dyDescent="0.35">
      <c r="A103" s="12"/>
      <c r="B103" s="174" t="s">
        <v>66</v>
      </c>
      <c r="C103" s="175">
        <f>'Kustannusarvio|Rakennusselostus'!D98</f>
        <v>0</v>
      </c>
      <c r="D103" s="190">
        <f>'Kustannusarvio|Rakennusselostus'!E98</f>
        <v>0</v>
      </c>
      <c r="E103" s="190">
        <f>'Kustannusarvio|Rakennusselostus'!F98</f>
        <v>0</v>
      </c>
      <c r="F103" s="190">
        <f>'Kustannusarvio|Rakennusselostus'!G98</f>
        <v>0</v>
      </c>
      <c r="G103" s="191">
        <f t="shared" si="2"/>
        <v>0</v>
      </c>
      <c r="H103" s="190">
        <f>'Kustannusarvio|Rakennusselostus'!I98</f>
        <v>0</v>
      </c>
      <c r="I103" s="190">
        <f>'Kustannusarvio|Rakennusselostus'!J98</f>
        <v>0</v>
      </c>
      <c r="J103" s="190">
        <f>'Kustannusarvio|Rakennusselostus'!K98</f>
        <v>0</v>
      </c>
      <c r="K103" s="191">
        <f t="shared" si="3"/>
        <v>0</v>
      </c>
      <c r="L103" s="11"/>
    </row>
    <row r="104" spans="1:12" x14ac:dyDescent="0.35">
      <c r="A104" s="12"/>
      <c r="B104" s="174" t="s">
        <v>67</v>
      </c>
      <c r="C104" s="175">
        <f>'Kustannusarvio|Rakennusselostus'!D99</f>
        <v>0</v>
      </c>
      <c r="D104" s="190">
        <f>'Kustannusarvio|Rakennusselostus'!E99</f>
        <v>0</v>
      </c>
      <c r="E104" s="190">
        <f>'Kustannusarvio|Rakennusselostus'!F99</f>
        <v>0</v>
      </c>
      <c r="F104" s="190">
        <f>'Kustannusarvio|Rakennusselostus'!G99</f>
        <v>0</v>
      </c>
      <c r="G104" s="191">
        <f t="shared" si="2"/>
        <v>0</v>
      </c>
      <c r="H104" s="190">
        <f>'Kustannusarvio|Rakennusselostus'!I99</f>
        <v>0</v>
      </c>
      <c r="I104" s="190">
        <f>'Kustannusarvio|Rakennusselostus'!J99</f>
        <v>0</v>
      </c>
      <c r="J104" s="190">
        <f>'Kustannusarvio|Rakennusselostus'!K99</f>
        <v>0</v>
      </c>
      <c r="K104" s="191">
        <f t="shared" si="3"/>
        <v>0</v>
      </c>
      <c r="L104" s="11"/>
    </row>
    <row r="105" spans="1:12" x14ac:dyDescent="0.35">
      <c r="A105" s="12"/>
      <c r="B105" s="174" t="s">
        <v>71</v>
      </c>
      <c r="C105" s="175">
        <f>'Kustannusarvio|Rakennusselostus'!D100</f>
        <v>0</v>
      </c>
      <c r="D105" s="190">
        <f>'Kustannusarvio|Rakennusselostus'!E100</f>
        <v>0</v>
      </c>
      <c r="E105" s="190">
        <f>'Kustannusarvio|Rakennusselostus'!F100</f>
        <v>0</v>
      </c>
      <c r="F105" s="190">
        <f>'Kustannusarvio|Rakennusselostus'!G100</f>
        <v>0</v>
      </c>
      <c r="G105" s="191">
        <f t="shared" si="2"/>
        <v>0</v>
      </c>
      <c r="H105" s="190">
        <f>'Kustannusarvio|Rakennusselostus'!I100</f>
        <v>0</v>
      </c>
      <c r="I105" s="190">
        <f>'Kustannusarvio|Rakennusselostus'!J100</f>
        <v>0</v>
      </c>
      <c r="J105" s="190">
        <f>'Kustannusarvio|Rakennusselostus'!K100</f>
        <v>0</v>
      </c>
      <c r="K105" s="191">
        <f t="shared" si="3"/>
        <v>0</v>
      </c>
      <c r="L105" s="11"/>
    </row>
    <row r="106" spans="1:12" x14ac:dyDescent="0.35">
      <c r="A106" s="12"/>
      <c r="B106" s="174" t="s">
        <v>111</v>
      </c>
      <c r="C106" s="175">
        <f>'Kustannusarvio|Rakennusselostus'!D101</f>
        <v>0</v>
      </c>
      <c r="D106" s="190">
        <f>'Kustannusarvio|Rakennusselostus'!E101</f>
        <v>0</v>
      </c>
      <c r="E106" s="190">
        <f>'Kustannusarvio|Rakennusselostus'!F101</f>
        <v>0</v>
      </c>
      <c r="F106" s="190">
        <f>'Kustannusarvio|Rakennusselostus'!G101</f>
        <v>0</v>
      </c>
      <c r="G106" s="191">
        <f t="shared" si="2"/>
        <v>0</v>
      </c>
      <c r="H106" s="190">
        <f>'Kustannusarvio|Rakennusselostus'!I101</f>
        <v>0</v>
      </c>
      <c r="I106" s="190">
        <f>'Kustannusarvio|Rakennusselostus'!J101</f>
        <v>0</v>
      </c>
      <c r="J106" s="190">
        <f>'Kustannusarvio|Rakennusselostus'!K101</f>
        <v>0</v>
      </c>
      <c r="K106" s="191">
        <f t="shared" si="3"/>
        <v>0</v>
      </c>
      <c r="L106" s="11"/>
    </row>
    <row r="107" spans="1:12" x14ac:dyDescent="0.35">
      <c r="A107" s="12"/>
      <c r="B107" s="174" t="str">
        <f>SUBSTITUTE(IF('Kustannusarvio|Rakennusselostus'!C102="",'Kustannusarvio|Rakennusselostus'!B102,'Kustannusarvio|Rakennusselostus'!C102),":","")</f>
        <v>Muu korjaus</v>
      </c>
      <c r="C107" s="175">
        <f>'Kustannusarvio|Rakennusselostus'!D102</f>
        <v>0</v>
      </c>
      <c r="D107" s="190">
        <f>'Kustannusarvio|Rakennusselostus'!E102</f>
        <v>0</v>
      </c>
      <c r="E107" s="190">
        <f>'Kustannusarvio|Rakennusselostus'!F102</f>
        <v>0</v>
      </c>
      <c r="F107" s="190">
        <f>'Kustannusarvio|Rakennusselostus'!G102</f>
        <v>0</v>
      </c>
      <c r="G107" s="191">
        <f t="shared" si="2"/>
        <v>0</v>
      </c>
      <c r="H107" s="190">
        <f>'Kustannusarvio|Rakennusselostus'!I102</f>
        <v>0</v>
      </c>
      <c r="I107" s="190">
        <f>'Kustannusarvio|Rakennusselostus'!J102</f>
        <v>0</v>
      </c>
      <c r="J107" s="190">
        <f>'Kustannusarvio|Rakennusselostus'!K102</f>
        <v>0</v>
      </c>
      <c r="K107" s="191">
        <f t="shared" si="3"/>
        <v>0</v>
      </c>
      <c r="L107" s="11"/>
    </row>
    <row r="108" spans="1:12" x14ac:dyDescent="0.35">
      <c r="A108" s="10" t="s">
        <v>79</v>
      </c>
      <c r="B108" s="27"/>
      <c r="C108" s="291"/>
      <c r="D108" s="245"/>
      <c r="E108" s="246"/>
      <c r="F108" s="245"/>
      <c r="G108" s="248"/>
      <c r="H108" s="245"/>
      <c r="I108" s="245"/>
      <c r="J108" s="245"/>
      <c r="K108" s="247"/>
      <c r="L108" s="11"/>
    </row>
    <row r="109" spans="1:12" x14ac:dyDescent="0.35">
      <c r="A109" s="12"/>
      <c r="B109" s="174" t="s">
        <v>82</v>
      </c>
      <c r="C109" s="175">
        <f>'Kustannusarvio|Rakennusselostus'!D104</f>
        <v>0</v>
      </c>
      <c r="D109" s="190">
        <f>'Kustannusarvio|Rakennusselostus'!E104</f>
        <v>0</v>
      </c>
      <c r="E109" s="190">
        <f>'Kustannusarvio|Rakennusselostus'!F104</f>
        <v>0</v>
      </c>
      <c r="F109" s="190">
        <f>'Kustannusarvio|Rakennusselostus'!G104</f>
        <v>0</v>
      </c>
      <c r="G109" s="191">
        <f t="shared" si="2"/>
        <v>0</v>
      </c>
      <c r="H109" s="190">
        <f>'Kustannusarvio|Rakennusselostus'!I104</f>
        <v>0</v>
      </c>
      <c r="I109" s="190">
        <f>'Kustannusarvio|Rakennusselostus'!J104</f>
        <v>0</v>
      </c>
      <c r="J109" s="190">
        <f>'Kustannusarvio|Rakennusselostus'!K104</f>
        <v>0</v>
      </c>
      <c r="K109" s="191">
        <f t="shared" si="3"/>
        <v>0</v>
      </c>
      <c r="L109" s="11"/>
    </row>
    <row r="110" spans="1:12" x14ac:dyDescent="0.35">
      <c r="A110" s="12"/>
      <c r="B110" s="174" t="s">
        <v>72</v>
      </c>
      <c r="C110" s="175">
        <f>'Kustannusarvio|Rakennusselostus'!D105</f>
        <v>0</v>
      </c>
      <c r="D110" s="190">
        <f>'Kustannusarvio|Rakennusselostus'!E105</f>
        <v>0</v>
      </c>
      <c r="E110" s="190">
        <f>'Kustannusarvio|Rakennusselostus'!F105</f>
        <v>0</v>
      </c>
      <c r="F110" s="190">
        <f>'Kustannusarvio|Rakennusselostus'!G105</f>
        <v>0</v>
      </c>
      <c r="G110" s="191">
        <f t="shared" si="2"/>
        <v>0</v>
      </c>
      <c r="H110" s="190">
        <f>'Kustannusarvio|Rakennusselostus'!I105</f>
        <v>0</v>
      </c>
      <c r="I110" s="190">
        <f>'Kustannusarvio|Rakennusselostus'!J105</f>
        <v>0</v>
      </c>
      <c r="J110" s="190">
        <f>'Kustannusarvio|Rakennusselostus'!K105</f>
        <v>0</v>
      </c>
      <c r="K110" s="191">
        <f t="shared" si="3"/>
        <v>0</v>
      </c>
      <c r="L110" s="11"/>
    </row>
    <row r="111" spans="1:12" x14ac:dyDescent="0.35">
      <c r="A111" s="12"/>
      <c r="B111" s="174" t="s">
        <v>73</v>
      </c>
      <c r="C111" s="175">
        <f>'Kustannusarvio|Rakennusselostus'!D106</f>
        <v>0</v>
      </c>
      <c r="D111" s="190">
        <f>'Kustannusarvio|Rakennusselostus'!E106</f>
        <v>0</v>
      </c>
      <c r="E111" s="190">
        <f>'Kustannusarvio|Rakennusselostus'!F106</f>
        <v>0</v>
      </c>
      <c r="F111" s="190">
        <f>'Kustannusarvio|Rakennusselostus'!G106</f>
        <v>0</v>
      </c>
      <c r="G111" s="191">
        <f t="shared" si="2"/>
        <v>0</v>
      </c>
      <c r="H111" s="190">
        <f>'Kustannusarvio|Rakennusselostus'!I106</f>
        <v>0</v>
      </c>
      <c r="I111" s="190">
        <f>'Kustannusarvio|Rakennusselostus'!J106</f>
        <v>0</v>
      </c>
      <c r="J111" s="190">
        <f>'Kustannusarvio|Rakennusselostus'!K106</f>
        <v>0</v>
      </c>
      <c r="K111" s="191">
        <f t="shared" si="3"/>
        <v>0</v>
      </c>
      <c r="L111" s="11"/>
    </row>
    <row r="112" spans="1:12" x14ac:dyDescent="0.35">
      <c r="A112" s="12"/>
      <c r="B112" s="174" t="s">
        <v>74</v>
      </c>
      <c r="C112" s="175">
        <f>'Kustannusarvio|Rakennusselostus'!D107</f>
        <v>0</v>
      </c>
      <c r="D112" s="190">
        <f>'Kustannusarvio|Rakennusselostus'!E107</f>
        <v>0</v>
      </c>
      <c r="E112" s="190">
        <f>'Kustannusarvio|Rakennusselostus'!F107</f>
        <v>0</v>
      </c>
      <c r="F112" s="190">
        <f>'Kustannusarvio|Rakennusselostus'!G107</f>
        <v>0</v>
      </c>
      <c r="G112" s="191">
        <f t="shared" si="2"/>
        <v>0</v>
      </c>
      <c r="H112" s="190">
        <f>'Kustannusarvio|Rakennusselostus'!I107</f>
        <v>0</v>
      </c>
      <c r="I112" s="190">
        <f>'Kustannusarvio|Rakennusselostus'!J107</f>
        <v>0</v>
      </c>
      <c r="J112" s="190">
        <f>'Kustannusarvio|Rakennusselostus'!K107</f>
        <v>0</v>
      </c>
      <c r="K112" s="191">
        <f t="shared" si="3"/>
        <v>0</v>
      </c>
      <c r="L112" s="11"/>
    </row>
    <row r="113" spans="1:12" x14ac:dyDescent="0.35">
      <c r="A113" s="12"/>
      <c r="B113" s="174" t="s">
        <v>120</v>
      </c>
      <c r="C113" s="175">
        <f>'Kustannusarvio|Rakennusselostus'!D108</f>
        <v>0</v>
      </c>
      <c r="D113" s="190">
        <f>'Kustannusarvio|Rakennusselostus'!E108</f>
        <v>0</v>
      </c>
      <c r="E113" s="190">
        <f>'Kustannusarvio|Rakennusselostus'!F108</f>
        <v>0</v>
      </c>
      <c r="F113" s="190">
        <f>'Kustannusarvio|Rakennusselostus'!G108</f>
        <v>0</v>
      </c>
      <c r="G113" s="191">
        <f t="shared" si="2"/>
        <v>0</v>
      </c>
      <c r="H113" s="190">
        <f>'Kustannusarvio|Rakennusselostus'!I108</f>
        <v>0</v>
      </c>
      <c r="I113" s="190">
        <f>'Kustannusarvio|Rakennusselostus'!J108</f>
        <v>0</v>
      </c>
      <c r="J113" s="190">
        <f>'Kustannusarvio|Rakennusselostus'!K108</f>
        <v>0</v>
      </c>
      <c r="K113" s="191">
        <f t="shared" si="3"/>
        <v>0</v>
      </c>
      <c r="L113" s="11"/>
    </row>
    <row r="114" spans="1:12" x14ac:dyDescent="0.35">
      <c r="A114" s="12"/>
      <c r="B114" s="174" t="s">
        <v>75</v>
      </c>
      <c r="C114" s="175">
        <f>'Kustannusarvio|Rakennusselostus'!D109</f>
        <v>0</v>
      </c>
      <c r="D114" s="190">
        <f>'Kustannusarvio|Rakennusselostus'!E109</f>
        <v>0</v>
      </c>
      <c r="E114" s="190">
        <f>'Kustannusarvio|Rakennusselostus'!F109</f>
        <v>0</v>
      </c>
      <c r="F114" s="190">
        <f>'Kustannusarvio|Rakennusselostus'!G109</f>
        <v>0</v>
      </c>
      <c r="G114" s="191">
        <f t="shared" si="2"/>
        <v>0</v>
      </c>
      <c r="H114" s="190">
        <f>'Kustannusarvio|Rakennusselostus'!I109</f>
        <v>0</v>
      </c>
      <c r="I114" s="190">
        <f>'Kustannusarvio|Rakennusselostus'!J109</f>
        <v>0</v>
      </c>
      <c r="J114" s="190">
        <f>'Kustannusarvio|Rakennusselostus'!K109</f>
        <v>0</v>
      </c>
      <c r="K114" s="191">
        <f t="shared" si="3"/>
        <v>0</v>
      </c>
      <c r="L114" s="11"/>
    </row>
    <row r="115" spans="1:12" x14ac:dyDescent="0.35">
      <c r="A115" s="12"/>
      <c r="B115" s="174" t="s">
        <v>81</v>
      </c>
      <c r="C115" s="175">
        <f>'Kustannusarvio|Rakennusselostus'!D111</f>
        <v>0</v>
      </c>
      <c r="D115" s="190">
        <f>'Kustannusarvio|Rakennusselostus'!E111</f>
        <v>0</v>
      </c>
      <c r="E115" s="190">
        <f>'Kustannusarvio|Rakennusselostus'!F111</f>
        <v>0</v>
      </c>
      <c r="F115" s="190">
        <f>'Kustannusarvio|Rakennusselostus'!G111</f>
        <v>0</v>
      </c>
      <c r="G115" s="191">
        <f t="shared" si="2"/>
        <v>0</v>
      </c>
      <c r="H115" s="190">
        <f>'Kustannusarvio|Rakennusselostus'!I111</f>
        <v>0</v>
      </c>
      <c r="I115" s="190">
        <f>'Kustannusarvio|Rakennusselostus'!J111</f>
        <v>0</v>
      </c>
      <c r="J115" s="190">
        <f>'Kustannusarvio|Rakennusselostus'!K111</f>
        <v>0</v>
      </c>
      <c r="K115" s="191">
        <f t="shared" si="3"/>
        <v>0</v>
      </c>
      <c r="L115" s="11"/>
    </row>
    <row r="116" spans="1:12" x14ac:dyDescent="0.35">
      <c r="A116" s="12"/>
      <c r="B116" s="174" t="s">
        <v>76</v>
      </c>
      <c r="C116" s="175">
        <f>'Kustannusarvio|Rakennusselostus'!D112</f>
        <v>0</v>
      </c>
      <c r="D116" s="190">
        <f>'Kustannusarvio|Rakennusselostus'!E112</f>
        <v>0</v>
      </c>
      <c r="E116" s="190">
        <f>'Kustannusarvio|Rakennusselostus'!F112</f>
        <v>0</v>
      </c>
      <c r="F116" s="190">
        <f>'Kustannusarvio|Rakennusselostus'!G112</f>
        <v>0</v>
      </c>
      <c r="G116" s="191">
        <f t="shared" si="2"/>
        <v>0</v>
      </c>
      <c r="H116" s="190">
        <f>'Kustannusarvio|Rakennusselostus'!I112</f>
        <v>0</v>
      </c>
      <c r="I116" s="190">
        <f>'Kustannusarvio|Rakennusselostus'!J112</f>
        <v>0</v>
      </c>
      <c r="J116" s="190">
        <f>'Kustannusarvio|Rakennusselostus'!K112</f>
        <v>0</v>
      </c>
      <c r="K116" s="191">
        <f t="shared" si="3"/>
        <v>0</v>
      </c>
      <c r="L116" s="11"/>
    </row>
    <row r="117" spans="1:12" x14ac:dyDescent="0.35">
      <c r="A117" s="12"/>
      <c r="B117" s="174" t="s">
        <v>77</v>
      </c>
      <c r="C117" s="175">
        <f>'Kustannusarvio|Rakennusselostus'!D113</f>
        <v>0</v>
      </c>
      <c r="D117" s="190">
        <f>'Kustannusarvio|Rakennusselostus'!E113</f>
        <v>0</v>
      </c>
      <c r="E117" s="190">
        <f>'Kustannusarvio|Rakennusselostus'!F113</f>
        <v>0</v>
      </c>
      <c r="F117" s="190">
        <f>'Kustannusarvio|Rakennusselostus'!G113</f>
        <v>0</v>
      </c>
      <c r="G117" s="191">
        <f t="shared" si="2"/>
        <v>0</v>
      </c>
      <c r="H117" s="190">
        <f>'Kustannusarvio|Rakennusselostus'!I113</f>
        <v>0</v>
      </c>
      <c r="I117" s="190">
        <f>'Kustannusarvio|Rakennusselostus'!J113</f>
        <v>0</v>
      </c>
      <c r="J117" s="190">
        <f>'Kustannusarvio|Rakennusselostus'!K113</f>
        <v>0</v>
      </c>
      <c r="K117" s="191">
        <f t="shared" si="3"/>
        <v>0</v>
      </c>
      <c r="L117" s="11"/>
    </row>
    <row r="118" spans="1:12" x14ac:dyDescent="0.35">
      <c r="A118" s="12"/>
      <c r="B118" s="174" t="s">
        <v>78</v>
      </c>
      <c r="C118" s="175">
        <f>'Kustannusarvio|Rakennusselostus'!D114</f>
        <v>0</v>
      </c>
      <c r="D118" s="190">
        <f>'Kustannusarvio|Rakennusselostus'!E114</f>
        <v>0</v>
      </c>
      <c r="E118" s="190">
        <f>'Kustannusarvio|Rakennusselostus'!F114</f>
        <v>0</v>
      </c>
      <c r="F118" s="190">
        <f>'Kustannusarvio|Rakennusselostus'!G114</f>
        <v>0</v>
      </c>
      <c r="G118" s="191">
        <f t="shared" si="2"/>
        <v>0</v>
      </c>
      <c r="H118" s="190">
        <f>'Kustannusarvio|Rakennusselostus'!I114</f>
        <v>0</v>
      </c>
      <c r="I118" s="190">
        <f>'Kustannusarvio|Rakennusselostus'!J114</f>
        <v>0</v>
      </c>
      <c r="J118" s="190">
        <f>'Kustannusarvio|Rakennusselostus'!K114</f>
        <v>0</v>
      </c>
      <c r="K118" s="191">
        <f t="shared" si="3"/>
        <v>0</v>
      </c>
      <c r="L118" s="11"/>
    </row>
    <row r="119" spans="1:12" x14ac:dyDescent="0.35">
      <c r="A119" s="12"/>
      <c r="B119" s="174" t="s">
        <v>80</v>
      </c>
      <c r="C119" s="175">
        <f>'Kustannusarvio|Rakennusselostus'!D115</f>
        <v>0</v>
      </c>
      <c r="D119" s="190">
        <f>'Kustannusarvio|Rakennusselostus'!E115</f>
        <v>0</v>
      </c>
      <c r="E119" s="190">
        <f>'Kustannusarvio|Rakennusselostus'!F115</f>
        <v>0</v>
      </c>
      <c r="F119" s="190">
        <f>'Kustannusarvio|Rakennusselostus'!G115</f>
        <v>0</v>
      </c>
      <c r="G119" s="191">
        <f t="shared" si="2"/>
        <v>0</v>
      </c>
      <c r="H119" s="190">
        <f>'Kustannusarvio|Rakennusselostus'!I115</f>
        <v>0</v>
      </c>
      <c r="I119" s="190">
        <f>'Kustannusarvio|Rakennusselostus'!J115</f>
        <v>0</v>
      </c>
      <c r="J119" s="190">
        <f>'Kustannusarvio|Rakennusselostus'!K115</f>
        <v>0</v>
      </c>
      <c r="K119" s="191">
        <f t="shared" si="3"/>
        <v>0</v>
      </c>
      <c r="L119" s="11"/>
    </row>
    <row r="120" spans="1:12" x14ac:dyDescent="0.35">
      <c r="A120" s="12"/>
      <c r="B120" s="174" t="s">
        <v>83</v>
      </c>
      <c r="C120" s="175">
        <f>'Kustannusarvio|Rakennusselostus'!D116</f>
        <v>0</v>
      </c>
      <c r="D120" s="190">
        <f>'Kustannusarvio|Rakennusselostus'!E116</f>
        <v>0</v>
      </c>
      <c r="E120" s="190">
        <f>'Kustannusarvio|Rakennusselostus'!F116</f>
        <v>0</v>
      </c>
      <c r="F120" s="190">
        <f>'Kustannusarvio|Rakennusselostus'!G116</f>
        <v>0</v>
      </c>
      <c r="G120" s="191">
        <f t="shared" si="2"/>
        <v>0</v>
      </c>
      <c r="H120" s="190">
        <f>'Kustannusarvio|Rakennusselostus'!I116</f>
        <v>0</v>
      </c>
      <c r="I120" s="190">
        <f>'Kustannusarvio|Rakennusselostus'!J116</f>
        <v>0</v>
      </c>
      <c r="J120" s="190">
        <f>'Kustannusarvio|Rakennusselostus'!K116</f>
        <v>0</v>
      </c>
      <c r="K120" s="191">
        <f t="shared" si="3"/>
        <v>0</v>
      </c>
      <c r="L120" s="11"/>
    </row>
    <row r="121" spans="1:12" x14ac:dyDescent="0.35">
      <c r="A121" s="12"/>
      <c r="B121" s="174" t="s">
        <v>121</v>
      </c>
      <c r="C121" s="175">
        <f>'Kustannusarvio|Rakennusselostus'!D117</f>
        <v>0</v>
      </c>
      <c r="D121" s="190">
        <f>'Kustannusarvio|Rakennusselostus'!E117</f>
        <v>0</v>
      </c>
      <c r="E121" s="190">
        <f>'Kustannusarvio|Rakennusselostus'!F117</f>
        <v>0</v>
      </c>
      <c r="F121" s="190">
        <f>'Kustannusarvio|Rakennusselostus'!G117</f>
        <v>0</v>
      </c>
      <c r="G121" s="191">
        <f t="shared" si="2"/>
        <v>0</v>
      </c>
      <c r="H121" s="190">
        <f>'Kustannusarvio|Rakennusselostus'!I117</f>
        <v>0</v>
      </c>
      <c r="I121" s="190">
        <f>'Kustannusarvio|Rakennusselostus'!J117</f>
        <v>0</v>
      </c>
      <c r="J121" s="190">
        <f>'Kustannusarvio|Rakennusselostus'!K117</f>
        <v>0</v>
      </c>
      <c r="K121" s="191">
        <f t="shared" si="3"/>
        <v>0</v>
      </c>
      <c r="L121" s="11"/>
    </row>
    <row r="122" spans="1:12" x14ac:dyDescent="0.35">
      <c r="A122" s="12"/>
      <c r="B122" s="174" t="s">
        <v>84</v>
      </c>
      <c r="C122" s="175">
        <f>'Kustannusarvio|Rakennusselostus'!D118</f>
        <v>0</v>
      </c>
      <c r="D122" s="190">
        <f>'Kustannusarvio|Rakennusselostus'!E118</f>
        <v>0</v>
      </c>
      <c r="E122" s="190">
        <f>'Kustannusarvio|Rakennusselostus'!F118</f>
        <v>0</v>
      </c>
      <c r="F122" s="190">
        <f>'Kustannusarvio|Rakennusselostus'!G118</f>
        <v>0</v>
      </c>
      <c r="G122" s="191">
        <f t="shared" si="2"/>
        <v>0</v>
      </c>
      <c r="H122" s="190">
        <f>'Kustannusarvio|Rakennusselostus'!I118</f>
        <v>0</v>
      </c>
      <c r="I122" s="190">
        <f>'Kustannusarvio|Rakennusselostus'!J118</f>
        <v>0</v>
      </c>
      <c r="J122" s="190">
        <f>'Kustannusarvio|Rakennusselostus'!K118</f>
        <v>0</v>
      </c>
      <c r="K122" s="191">
        <f t="shared" si="3"/>
        <v>0</v>
      </c>
      <c r="L122" s="11"/>
    </row>
    <row r="123" spans="1:12" x14ac:dyDescent="0.35">
      <c r="A123" s="12"/>
      <c r="B123" s="174" t="s">
        <v>85</v>
      </c>
      <c r="C123" s="175">
        <f>'Kustannusarvio|Rakennusselostus'!D119</f>
        <v>0</v>
      </c>
      <c r="D123" s="190">
        <f>'Kustannusarvio|Rakennusselostus'!E119</f>
        <v>0</v>
      </c>
      <c r="E123" s="190">
        <f>'Kustannusarvio|Rakennusselostus'!F119</f>
        <v>0</v>
      </c>
      <c r="F123" s="190">
        <f>'Kustannusarvio|Rakennusselostus'!G119</f>
        <v>0</v>
      </c>
      <c r="G123" s="191">
        <f t="shared" si="2"/>
        <v>0</v>
      </c>
      <c r="H123" s="190">
        <f>'Kustannusarvio|Rakennusselostus'!I119</f>
        <v>0</v>
      </c>
      <c r="I123" s="190">
        <f>'Kustannusarvio|Rakennusselostus'!J119</f>
        <v>0</v>
      </c>
      <c r="J123" s="190">
        <f>'Kustannusarvio|Rakennusselostus'!K119</f>
        <v>0</v>
      </c>
      <c r="K123" s="191">
        <f t="shared" si="3"/>
        <v>0</v>
      </c>
      <c r="L123" s="11"/>
    </row>
    <row r="124" spans="1:12" x14ac:dyDescent="0.35">
      <c r="A124" s="12"/>
      <c r="B124" s="174" t="s">
        <v>86</v>
      </c>
      <c r="C124" s="175">
        <f>'Kustannusarvio|Rakennusselostus'!D120</f>
        <v>0</v>
      </c>
      <c r="D124" s="190">
        <f>'Kustannusarvio|Rakennusselostus'!E120</f>
        <v>0</v>
      </c>
      <c r="E124" s="190">
        <f>'Kustannusarvio|Rakennusselostus'!F120</f>
        <v>0</v>
      </c>
      <c r="F124" s="190">
        <f>'Kustannusarvio|Rakennusselostus'!G120</f>
        <v>0</v>
      </c>
      <c r="G124" s="191">
        <f t="shared" si="2"/>
        <v>0</v>
      </c>
      <c r="H124" s="190">
        <f>'Kustannusarvio|Rakennusselostus'!I120</f>
        <v>0</v>
      </c>
      <c r="I124" s="190">
        <f>'Kustannusarvio|Rakennusselostus'!J120</f>
        <v>0</v>
      </c>
      <c r="J124" s="190">
        <f>'Kustannusarvio|Rakennusselostus'!K120</f>
        <v>0</v>
      </c>
      <c r="K124" s="191">
        <f t="shared" si="3"/>
        <v>0</v>
      </c>
      <c r="L124" s="11"/>
    </row>
    <row r="125" spans="1:12" x14ac:dyDescent="0.35">
      <c r="A125" s="12"/>
      <c r="B125" s="174" t="s">
        <v>87</v>
      </c>
      <c r="C125" s="175">
        <f>'Kustannusarvio|Rakennusselostus'!D121</f>
        <v>0</v>
      </c>
      <c r="D125" s="190">
        <f>'Kustannusarvio|Rakennusselostus'!E121</f>
        <v>0</v>
      </c>
      <c r="E125" s="190">
        <f>'Kustannusarvio|Rakennusselostus'!F121</f>
        <v>0</v>
      </c>
      <c r="F125" s="190">
        <f>'Kustannusarvio|Rakennusselostus'!G121</f>
        <v>0</v>
      </c>
      <c r="G125" s="191">
        <f t="shared" si="2"/>
        <v>0</v>
      </c>
      <c r="H125" s="190">
        <f>'Kustannusarvio|Rakennusselostus'!I121</f>
        <v>0</v>
      </c>
      <c r="I125" s="190">
        <f>'Kustannusarvio|Rakennusselostus'!J121</f>
        <v>0</v>
      </c>
      <c r="J125" s="190">
        <f>'Kustannusarvio|Rakennusselostus'!K121</f>
        <v>0</v>
      </c>
      <c r="K125" s="191">
        <f t="shared" si="3"/>
        <v>0</v>
      </c>
      <c r="L125" s="11"/>
    </row>
    <row r="126" spans="1:12" x14ac:dyDescent="0.35">
      <c r="A126" s="12"/>
      <c r="B126" s="174" t="s">
        <v>88</v>
      </c>
      <c r="C126" s="175">
        <f>'Kustannusarvio|Rakennusselostus'!D122</f>
        <v>0</v>
      </c>
      <c r="D126" s="190">
        <f>'Kustannusarvio|Rakennusselostus'!E122</f>
        <v>0</v>
      </c>
      <c r="E126" s="190">
        <f>'Kustannusarvio|Rakennusselostus'!F122</f>
        <v>0</v>
      </c>
      <c r="F126" s="190">
        <f>'Kustannusarvio|Rakennusselostus'!G122</f>
        <v>0</v>
      </c>
      <c r="G126" s="191">
        <f t="shared" si="2"/>
        <v>0</v>
      </c>
      <c r="H126" s="190">
        <f>'Kustannusarvio|Rakennusselostus'!I122</f>
        <v>0</v>
      </c>
      <c r="I126" s="190">
        <f>'Kustannusarvio|Rakennusselostus'!J122</f>
        <v>0</v>
      </c>
      <c r="J126" s="190">
        <f>'Kustannusarvio|Rakennusselostus'!K122</f>
        <v>0</v>
      </c>
      <c r="K126" s="191">
        <f t="shared" si="3"/>
        <v>0</v>
      </c>
      <c r="L126" s="11"/>
    </row>
    <row r="127" spans="1:12" x14ac:dyDescent="0.35">
      <c r="A127" s="12"/>
      <c r="B127" s="174" t="s">
        <v>89</v>
      </c>
      <c r="C127" s="175">
        <f>'Kustannusarvio|Rakennusselostus'!D123</f>
        <v>0</v>
      </c>
      <c r="D127" s="190">
        <f>'Kustannusarvio|Rakennusselostus'!E123</f>
        <v>0</v>
      </c>
      <c r="E127" s="190">
        <f>'Kustannusarvio|Rakennusselostus'!F123</f>
        <v>0</v>
      </c>
      <c r="F127" s="190">
        <f>'Kustannusarvio|Rakennusselostus'!G123</f>
        <v>0</v>
      </c>
      <c r="G127" s="191">
        <f t="shared" si="2"/>
        <v>0</v>
      </c>
      <c r="H127" s="190">
        <f>'Kustannusarvio|Rakennusselostus'!I123</f>
        <v>0</v>
      </c>
      <c r="I127" s="190">
        <f>'Kustannusarvio|Rakennusselostus'!J123</f>
        <v>0</v>
      </c>
      <c r="J127" s="190">
        <f>'Kustannusarvio|Rakennusselostus'!K123</f>
        <v>0</v>
      </c>
      <c r="K127" s="191">
        <f t="shared" si="3"/>
        <v>0</v>
      </c>
      <c r="L127" s="11"/>
    </row>
    <row r="128" spans="1:12" x14ac:dyDescent="0.35">
      <c r="A128" s="12"/>
      <c r="B128" s="174" t="s">
        <v>90</v>
      </c>
      <c r="C128" s="175">
        <f>'Kustannusarvio|Rakennusselostus'!D124</f>
        <v>0</v>
      </c>
      <c r="D128" s="190">
        <f>'Kustannusarvio|Rakennusselostus'!E124</f>
        <v>0</v>
      </c>
      <c r="E128" s="190">
        <f>'Kustannusarvio|Rakennusselostus'!F124</f>
        <v>0</v>
      </c>
      <c r="F128" s="190">
        <f>'Kustannusarvio|Rakennusselostus'!G124</f>
        <v>0</v>
      </c>
      <c r="G128" s="191">
        <f t="shared" si="2"/>
        <v>0</v>
      </c>
      <c r="H128" s="190">
        <f>'Kustannusarvio|Rakennusselostus'!I124</f>
        <v>0</v>
      </c>
      <c r="I128" s="190">
        <f>'Kustannusarvio|Rakennusselostus'!J124</f>
        <v>0</v>
      </c>
      <c r="J128" s="190">
        <f>'Kustannusarvio|Rakennusselostus'!K124</f>
        <v>0</v>
      </c>
      <c r="K128" s="191">
        <f t="shared" si="3"/>
        <v>0</v>
      </c>
      <c r="L128" s="11"/>
    </row>
    <row r="129" spans="1:12" x14ac:dyDescent="0.35">
      <c r="A129" s="12"/>
      <c r="B129" s="174" t="s">
        <v>91</v>
      </c>
      <c r="C129" s="175">
        <f>'Kustannusarvio|Rakennusselostus'!D125</f>
        <v>0</v>
      </c>
      <c r="D129" s="190">
        <f>'Kustannusarvio|Rakennusselostus'!E125</f>
        <v>0</v>
      </c>
      <c r="E129" s="190">
        <f>'Kustannusarvio|Rakennusselostus'!F125</f>
        <v>0</v>
      </c>
      <c r="F129" s="190">
        <f>'Kustannusarvio|Rakennusselostus'!G125</f>
        <v>0</v>
      </c>
      <c r="G129" s="191">
        <f t="shared" si="2"/>
        <v>0</v>
      </c>
      <c r="H129" s="190">
        <f>'Kustannusarvio|Rakennusselostus'!I125</f>
        <v>0</v>
      </c>
      <c r="I129" s="190">
        <f>'Kustannusarvio|Rakennusselostus'!J125</f>
        <v>0</v>
      </c>
      <c r="J129" s="190">
        <f>'Kustannusarvio|Rakennusselostus'!K125</f>
        <v>0</v>
      </c>
      <c r="K129" s="191">
        <f t="shared" si="3"/>
        <v>0</v>
      </c>
      <c r="L129" s="11"/>
    </row>
    <row r="130" spans="1:12" x14ac:dyDescent="0.35">
      <c r="A130" s="12"/>
      <c r="B130" s="174" t="s">
        <v>92</v>
      </c>
      <c r="C130" s="175">
        <f>'Kustannusarvio|Rakennusselostus'!D126</f>
        <v>0</v>
      </c>
      <c r="D130" s="190">
        <f>'Kustannusarvio|Rakennusselostus'!E126</f>
        <v>0</v>
      </c>
      <c r="E130" s="190">
        <f>'Kustannusarvio|Rakennusselostus'!F126</f>
        <v>0</v>
      </c>
      <c r="F130" s="190">
        <f>'Kustannusarvio|Rakennusselostus'!G126</f>
        <v>0</v>
      </c>
      <c r="G130" s="191">
        <f t="shared" si="2"/>
        <v>0</v>
      </c>
      <c r="H130" s="190">
        <f>'Kustannusarvio|Rakennusselostus'!I126</f>
        <v>0</v>
      </c>
      <c r="I130" s="190">
        <f>'Kustannusarvio|Rakennusselostus'!J126</f>
        <v>0</v>
      </c>
      <c r="J130" s="190">
        <f>'Kustannusarvio|Rakennusselostus'!K126</f>
        <v>0</v>
      </c>
      <c r="K130" s="191">
        <f t="shared" si="3"/>
        <v>0</v>
      </c>
      <c r="L130" s="11"/>
    </row>
    <row r="131" spans="1:12" x14ac:dyDescent="0.35">
      <c r="A131" s="12"/>
      <c r="B131" s="174" t="s">
        <v>93</v>
      </c>
      <c r="C131" s="175">
        <f>'Kustannusarvio|Rakennusselostus'!D127</f>
        <v>0</v>
      </c>
      <c r="D131" s="190">
        <f>'Kustannusarvio|Rakennusselostus'!E127</f>
        <v>0</v>
      </c>
      <c r="E131" s="190">
        <f>'Kustannusarvio|Rakennusselostus'!F127</f>
        <v>0</v>
      </c>
      <c r="F131" s="190">
        <f>'Kustannusarvio|Rakennusselostus'!G127</f>
        <v>0</v>
      </c>
      <c r="G131" s="191">
        <f t="shared" si="2"/>
        <v>0</v>
      </c>
      <c r="H131" s="190">
        <f>'Kustannusarvio|Rakennusselostus'!I127</f>
        <v>0</v>
      </c>
      <c r="I131" s="190">
        <f>'Kustannusarvio|Rakennusselostus'!J127</f>
        <v>0</v>
      </c>
      <c r="J131" s="190">
        <f>'Kustannusarvio|Rakennusselostus'!K127</f>
        <v>0</v>
      </c>
      <c r="K131" s="191">
        <f t="shared" si="3"/>
        <v>0</v>
      </c>
      <c r="L131" s="11"/>
    </row>
    <row r="132" spans="1:12" x14ac:dyDescent="0.35">
      <c r="A132" s="12"/>
      <c r="B132" s="188" t="str">
        <f>SUBSTITUTE(IF('Kustannusarvio|Rakennusselostus'!C128="",'Kustannusarvio|Rakennusselostus'!B128,'Kustannusarvio|Rakennusselostus'!C128),":","")</f>
        <v>Muu korjaus</v>
      </c>
      <c r="C132" s="175">
        <f>'Kustannusarvio|Rakennusselostus'!D128</f>
        <v>0</v>
      </c>
      <c r="D132" s="190">
        <f>'Kustannusarvio|Rakennusselostus'!E128</f>
        <v>0</v>
      </c>
      <c r="E132" s="190">
        <f>'Kustannusarvio|Rakennusselostus'!F128</f>
        <v>0</v>
      </c>
      <c r="F132" s="190">
        <f>'Kustannusarvio|Rakennusselostus'!G128</f>
        <v>0</v>
      </c>
      <c r="G132" s="191">
        <f t="shared" si="2"/>
        <v>0</v>
      </c>
      <c r="H132" s="190">
        <f>'Kustannusarvio|Rakennusselostus'!I128</f>
        <v>0</v>
      </c>
      <c r="I132" s="190">
        <f>'Kustannusarvio|Rakennusselostus'!J128</f>
        <v>0</v>
      </c>
      <c r="J132" s="190">
        <f>'Kustannusarvio|Rakennusselostus'!K128</f>
        <v>0</v>
      </c>
      <c r="K132" s="191">
        <f t="shared" si="3"/>
        <v>0</v>
      </c>
      <c r="L132" s="11"/>
    </row>
    <row r="133" spans="1:12" x14ac:dyDescent="0.35">
      <c r="A133" s="12"/>
      <c r="B133" s="188" t="str">
        <f>SUBSTITUTE(IF('Kustannusarvio|Rakennusselostus'!C129="",'Kustannusarvio|Rakennusselostus'!B129,'Kustannusarvio|Rakennusselostus'!C129),":","")</f>
        <v>Muu korjaus</v>
      </c>
      <c r="C133" s="175">
        <f>'Kustannusarvio|Rakennusselostus'!D129</f>
        <v>0</v>
      </c>
      <c r="D133" s="190">
        <f>'Kustannusarvio|Rakennusselostus'!E129</f>
        <v>0</v>
      </c>
      <c r="E133" s="190">
        <f>'Kustannusarvio|Rakennusselostus'!F129</f>
        <v>0</v>
      </c>
      <c r="F133" s="190">
        <f>'Kustannusarvio|Rakennusselostus'!G129</f>
        <v>0</v>
      </c>
      <c r="G133" s="191">
        <f t="shared" si="2"/>
        <v>0</v>
      </c>
      <c r="H133" s="190">
        <f>'Kustannusarvio|Rakennusselostus'!I129</f>
        <v>0</v>
      </c>
      <c r="I133" s="190">
        <f>'Kustannusarvio|Rakennusselostus'!J129</f>
        <v>0</v>
      </c>
      <c r="J133" s="190">
        <f>'Kustannusarvio|Rakennusselostus'!K129</f>
        <v>0</v>
      </c>
      <c r="K133" s="191">
        <f t="shared" si="3"/>
        <v>0</v>
      </c>
      <c r="L133" s="11"/>
    </row>
    <row r="134" spans="1:12" x14ac:dyDescent="0.35">
      <c r="A134" s="44" t="s">
        <v>187</v>
      </c>
      <c r="B134" s="51"/>
      <c r="C134" s="290"/>
      <c r="D134" s="46"/>
      <c r="E134" s="46"/>
      <c r="F134" s="46"/>
      <c r="G134" s="243"/>
      <c r="H134" s="46"/>
      <c r="I134" s="46"/>
      <c r="J134" s="46"/>
      <c r="K134" s="242"/>
      <c r="L134" s="11"/>
    </row>
    <row r="135" spans="1:12" x14ac:dyDescent="0.35">
      <c r="A135" s="12"/>
      <c r="B135" s="174" t="s">
        <v>196</v>
      </c>
      <c r="C135" s="175">
        <f>'Kustannusarvio|Rakennusselostus'!D131</f>
        <v>0</v>
      </c>
      <c r="D135" s="190">
        <f>'Kustannusarvio|Rakennusselostus'!E131</f>
        <v>0</v>
      </c>
      <c r="E135" s="190">
        <f>'Kustannusarvio|Rakennusselostus'!F131</f>
        <v>0</v>
      </c>
      <c r="F135" s="190">
        <f>'Kustannusarvio|Rakennusselostus'!G131</f>
        <v>0</v>
      </c>
      <c r="G135" s="191">
        <f t="shared" si="2"/>
        <v>0</v>
      </c>
      <c r="H135" s="240">
        <f>'Kustannusarvio|Rakennusselostus'!I131</f>
        <v>0</v>
      </c>
      <c r="I135" s="240">
        <f>'Kustannusarvio|Rakennusselostus'!J131</f>
        <v>0</v>
      </c>
      <c r="J135" s="240">
        <f>'Kustannusarvio|Rakennusselostus'!K131</f>
        <v>0</v>
      </c>
      <c r="K135" s="244">
        <f t="shared" si="3"/>
        <v>0</v>
      </c>
      <c r="L135" s="11"/>
    </row>
    <row r="136" spans="1:12" x14ac:dyDescent="0.35">
      <c r="A136" s="12"/>
      <c r="B136" s="174" t="s">
        <v>191</v>
      </c>
      <c r="C136" s="175">
        <f>'Kustannusarvio|Rakennusselostus'!D132</f>
        <v>0</v>
      </c>
      <c r="D136" s="190">
        <f>'Kustannusarvio|Rakennusselostus'!E132</f>
        <v>0</v>
      </c>
      <c r="E136" s="190">
        <f>'Kustannusarvio|Rakennusselostus'!F132</f>
        <v>0</v>
      </c>
      <c r="F136" s="190">
        <f>'Kustannusarvio|Rakennusselostus'!G132</f>
        <v>0</v>
      </c>
      <c r="G136" s="191">
        <f t="shared" si="2"/>
        <v>0</v>
      </c>
      <c r="H136" s="190">
        <f>'Kustannusarvio|Rakennusselostus'!I132</f>
        <v>0</v>
      </c>
      <c r="I136" s="190">
        <f>'Kustannusarvio|Rakennusselostus'!J132</f>
        <v>0</v>
      </c>
      <c r="J136" s="190">
        <f>'Kustannusarvio|Rakennusselostus'!K132</f>
        <v>0</v>
      </c>
      <c r="K136" s="191">
        <f t="shared" si="3"/>
        <v>0</v>
      </c>
      <c r="L136" s="11"/>
    </row>
    <row r="137" spans="1:12" x14ac:dyDescent="0.35">
      <c r="A137" s="12"/>
      <c r="B137" s="174" t="s">
        <v>20</v>
      </c>
      <c r="C137" s="175">
        <f>'Kustannusarvio|Rakennusselostus'!D133</f>
        <v>0</v>
      </c>
      <c r="D137" s="190">
        <f>'Kustannusarvio|Rakennusselostus'!E133</f>
        <v>0</v>
      </c>
      <c r="E137" s="190">
        <f>'Kustannusarvio|Rakennusselostus'!F133</f>
        <v>0</v>
      </c>
      <c r="F137" s="190">
        <f>'Kustannusarvio|Rakennusselostus'!G133</f>
        <v>0</v>
      </c>
      <c r="G137" s="191">
        <f t="shared" si="2"/>
        <v>0</v>
      </c>
      <c r="H137" s="190">
        <f>'Kustannusarvio|Rakennusselostus'!I133</f>
        <v>0</v>
      </c>
      <c r="I137" s="190">
        <f>'Kustannusarvio|Rakennusselostus'!J133</f>
        <v>0</v>
      </c>
      <c r="J137" s="190">
        <f>'Kustannusarvio|Rakennusselostus'!K133</f>
        <v>0</v>
      </c>
      <c r="K137" s="191">
        <f t="shared" si="3"/>
        <v>0</v>
      </c>
      <c r="L137" s="11"/>
    </row>
    <row r="138" spans="1:12" x14ac:dyDescent="0.35">
      <c r="A138" s="12"/>
      <c r="B138" s="174" t="s">
        <v>188</v>
      </c>
      <c r="C138" s="175">
        <f>'Kustannusarvio|Rakennusselostus'!D134</f>
        <v>0</v>
      </c>
      <c r="D138" s="190">
        <f>'Kustannusarvio|Rakennusselostus'!E134</f>
        <v>0</v>
      </c>
      <c r="E138" s="190">
        <f>'Kustannusarvio|Rakennusselostus'!F134</f>
        <v>0</v>
      </c>
      <c r="F138" s="190">
        <f>'Kustannusarvio|Rakennusselostus'!G134</f>
        <v>0</v>
      </c>
      <c r="G138" s="191">
        <f t="shared" si="2"/>
        <v>0</v>
      </c>
      <c r="H138" s="190">
        <f>'Kustannusarvio|Rakennusselostus'!I134</f>
        <v>0</v>
      </c>
      <c r="I138" s="190">
        <f>'Kustannusarvio|Rakennusselostus'!J134</f>
        <v>0</v>
      </c>
      <c r="J138" s="190">
        <f>'Kustannusarvio|Rakennusselostus'!K134</f>
        <v>0</v>
      </c>
      <c r="K138" s="191">
        <f t="shared" si="3"/>
        <v>0</v>
      </c>
      <c r="L138" s="11"/>
    </row>
    <row r="139" spans="1:12" x14ac:dyDescent="0.35">
      <c r="A139" s="12"/>
      <c r="B139" s="174" t="s">
        <v>189</v>
      </c>
      <c r="C139" s="175">
        <f>'Kustannusarvio|Rakennusselostus'!D135</f>
        <v>0</v>
      </c>
      <c r="D139" s="190">
        <f>'Kustannusarvio|Rakennusselostus'!E135</f>
        <v>0</v>
      </c>
      <c r="E139" s="190">
        <f>'Kustannusarvio|Rakennusselostus'!F135</f>
        <v>0</v>
      </c>
      <c r="F139" s="190">
        <f>'Kustannusarvio|Rakennusselostus'!G135</f>
        <v>0</v>
      </c>
      <c r="G139" s="191">
        <f t="shared" si="2"/>
        <v>0</v>
      </c>
      <c r="H139" s="190">
        <f>'Kustannusarvio|Rakennusselostus'!I135</f>
        <v>0</v>
      </c>
      <c r="I139" s="190">
        <f>'Kustannusarvio|Rakennusselostus'!J135</f>
        <v>0</v>
      </c>
      <c r="J139" s="190">
        <f>'Kustannusarvio|Rakennusselostus'!K135</f>
        <v>0</v>
      </c>
      <c r="K139" s="191">
        <f t="shared" si="3"/>
        <v>0</v>
      </c>
      <c r="L139" s="11"/>
    </row>
    <row r="140" spans="1:12" x14ac:dyDescent="0.35">
      <c r="A140" s="12"/>
      <c r="B140" s="174" t="s">
        <v>190</v>
      </c>
      <c r="C140" s="175">
        <f>'Kustannusarvio|Rakennusselostus'!D136</f>
        <v>0</v>
      </c>
      <c r="D140" s="190">
        <f>'Kustannusarvio|Rakennusselostus'!E136</f>
        <v>0</v>
      </c>
      <c r="E140" s="190">
        <f>'Kustannusarvio|Rakennusselostus'!F136</f>
        <v>0</v>
      </c>
      <c r="F140" s="190">
        <f>'Kustannusarvio|Rakennusselostus'!G136</f>
        <v>0</v>
      </c>
      <c r="G140" s="191">
        <f t="shared" si="2"/>
        <v>0</v>
      </c>
      <c r="H140" s="190">
        <f>'Kustannusarvio|Rakennusselostus'!I136</f>
        <v>0</v>
      </c>
      <c r="I140" s="190">
        <f>'Kustannusarvio|Rakennusselostus'!J136</f>
        <v>0</v>
      </c>
      <c r="J140" s="190">
        <f>'Kustannusarvio|Rakennusselostus'!K136</f>
        <v>0</v>
      </c>
      <c r="K140" s="191">
        <f t="shared" si="3"/>
        <v>0</v>
      </c>
      <c r="L140" s="11"/>
    </row>
    <row r="141" spans="1:12" x14ac:dyDescent="0.35">
      <c r="A141" s="12"/>
      <c r="B141" s="174" t="s">
        <v>192</v>
      </c>
      <c r="C141" s="175">
        <f>'Kustannusarvio|Rakennusselostus'!D137</f>
        <v>0</v>
      </c>
      <c r="D141" s="190">
        <f>'Kustannusarvio|Rakennusselostus'!E137</f>
        <v>0</v>
      </c>
      <c r="E141" s="190">
        <f>'Kustannusarvio|Rakennusselostus'!F137</f>
        <v>0</v>
      </c>
      <c r="F141" s="190">
        <f>'Kustannusarvio|Rakennusselostus'!G137</f>
        <v>0</v>
      </c>
      <c r="G141" s="191">
        <f t="shared" si="2"/>
        <v>0</v>
      </c>
      <c r="H141" s="190">
        <f>'Kustannusarvio|Rakennusselostus'!I137</f>
        <v>0</v>
      </c>
      <c r="I141" s="190">
        <f>'Kustannusarvio|Rakennusselostus'!J137</f>
        <v>0</v>
      </c>
      <c r="J141" s="190">
        <f>'Kustannusarvio|Rakennusselostus'!K137</f>
        <v>0</v>
      </c>
      <c r="K141" s="191">
        <f t="shared" si="3"/>
        <v>0</v>
      </c>
      <c r="L141" s="11"/>
    </row>
    <row r="142" spans="1:12" x14ac:dyDescent="0.35">
      <c r="A142" s="12"/>
      <c r="B142" s="188" t="str">
        <f>SUBSTITUTE(IF('Kustannusarvio|Rakennusselostus'!C138="",'Kustannusarvio|Rakennusselostus'!B138,'Kustannusarvio|Rakennusselostus'!C138),":","")</f>
        <v>Muut koneet ja laitteet</v>
      </c>
      <c r="C142" s="175">
        <f>'Kustannusarvio|Rakennusselostus'!D138</f>
        <v>0</v>
      </c>
      <c r="D142" s="190">
        <f>'Kustannusarvio|Rakennusselostus'!E138</f>
        <v>0</v>
      </c>
      <c r="E142" s="190">
        <f>'Kustannusarvio|Rakennusselostus'!F138</f>
        <v>0</v>
      </c>
      <c r="F142" s="190">
        <f>'Kustannusarvio|Rakennusselostus'!G138</f>
        <v>0</v>
      </c>
      <c r="G142" s="191">
        <f t="shared" si="2"/>
        <v>0</v>
      </c>
      <c r="H142" s="190">
        <f>'Kustannusarvio|Rakennusselostus'!I138</f>
        <v>0</v>
      </c>
      <c r="I142" s="190">
        <f>'Kustannusarvio|Rakennusselostus'!J138</f>
        <v>0</v>
      </c>
      <c r="J142" s="190">
        <f>'Kustannusarvio|Rakennusselostus'!K138</f>
        <v>0</v>
      </c>
      <c r="K142" s="191">
        <f t="shared" si="3"/>
        <v>0</v>
      </c>
      <c r="L142" s="11"/>
    </row>
    <row r="143" spans="1:12" x14ac:dyDescent="0.35">
      <c r="A143" s="12"/>
      <c r="B143" s="188" t="str">
        <f>SUBSTITUTE(IF('Kustannusarvio|Rakennusselostus'!C139="",'Kustannusarvio|Rakennusselostus'!B139,'Kustannusarvio|Rakennusselostus'!C139),":","")</f>
        <v>Muu kaluste / varuste</v>
      </c>
      <c r="C143" s="175">
        <f>'Kustannusarvio|Rakennusselostus'!D139</f>
        <v>0</v>
      </c>
      <c r="D143" s="190">
        <f>'Kustannusarvio|Rakennusselostus'!E139</f>
        <v>0</v>
      </c>
      <c r="E143" s="190">
        <f>'Kustannusarvio|Rakennusselostus'!F139</f>
        <v>0</v>
      </c>
      <c r="F143" s="190">
        <f>'Kustannusarvio|Rakennusselostus'!G139</f>
        <v>0</v>
      </c>
      <c r="G143" s="191">
        <f t="shared" si="2"/>
        <v>0</v>
      </c>
      <c r="H143" s="190">
        <f>'Kustannusarvio|Rakennusselostus'!I139</f>
        <v>0</v>
      </c>
      <c r="I143" s="190">
        <f>'Kustannusarvio|Rakennusselostus'!J139</f>
        <v>0</v>
      </c>
      <c r="J143" s="190">
        <f>'Kustannusarvio|Rakennusselostus'!K139</f>
        <v>0</v>
      </c>
      <c r="K143" s="191">
        <f t="shared" si="3"/>
        <v>0</v>
      </c>
      <c r="L143" s="11"/>
    </row>
    <row r="144" spans="1:12" x14ac:dyDescent="0.35">
      <c r="A144" s="44" t="s">
        <v>193</v>
      </c>
      <c r="B144" s="51"/>
      <c r="C144" s="290"/>
      <c r="D144" s="46"/>
      <c r="E144" s="46"/>
      <c r="F144" s="46"/>
      <c r="G144" s="243"/>
      <c r="H144" s="46"/>
      <c r="I144" s="46"/>
      <c r="J144" s="46"/>
      <c r="K144" s="242"/>
      <c r="L144" s="11"/>
    </row>
    <row r="145" spans="1:12" x14ac:dyDescent="0.35">
      <c r="A145" s="12"/>
      <c r="B145" s="174" t="s">
        <v>97</v>
      </c>
      <c r="C145" s="175">
        <f>'Kustannusarvio|Rakennusselostus'!D141</f>
        <v>0</v>
      </c>
      <c r="D145" s="190">
        <f>'Kustannusarvio|Rakennusselostus'!E141</f>
        <v>0</v>
      </c>
      <c r="E145" s="190">
        <f>'Kustannusarvio|Rakennusselostus'!F141</f>
        <v>0</v>
      </c>
      <c r="F145" s="190">
        <f>'Kustannusarvio|Rakennusselostus'!G141</f>
        <v>0</v>
      </c>
      <c r="G145" s="191">
        <f t="shared" si="2"/>
        <v>0</v>
      </c>
      <c r="H145" s="240">
        <f>'Kustannusarvio|Rakennusselostus'!I141</f>
        <v>0</v>
      </c>
      <c r="I145" s="240">
        <f>'Kustannusarvio|Rakennusselostus'!J141</f>
        <v>0</v>
      </c>
      <c r="J145" s="240">
        <f>'Kustannusarvio|Rakennusselostus'!K141</f>
        <v>0</v>
      </c>
      <c r="K145" s="244">
        <f t="shared" si="3"/>
        <v>0</v>
      </c>
      <c r="L145" s="11"/>
    </row>
    <row r="146" spans="1:12" x14ac:dyDescent="0.35">
      <c r="A146" s="12"/>
      <c r="B146" s="174" t="s">
        <v>96</v>
      </c>
      <c r="C146" s="175">
        <f>'Kustannusarvio|Rakennusselostus'!D142</f>
        <v>0</v>
      </c>
      <c r="D146" s="190">
        <f>'Kustannusarvio|Rakennusselostus'!E142</f>
        <v>0</v>
      </c>
      <c r="E146" s="190">
        <f>'Kustannusarvio|Rakennusselostus'!F142</f>
        <v>0</v>
      </c>
      <c r="F146" s="190">
        <f>'Kustannusarvio|Rakennusselostus'!G142</f>
        <v>0</v>
      </c>
      <c r="G146" s="191">
        <f t="shared" si="2"/>
        <v>0</v>
      </c>
      <c r="H146" s="190">
        <f>'Kustannusarvio|Rakennusselostus'!I142</f>
        <v>0</v>
      </c>
      <c r="I146" s="190">
        <f>'Kustannusarvio|Rakennusselostus'!J142</f>
        <v>0</v>
      </c>
      <c r="J146" s="190">
        <f>'Kustannusarvio|Rakennusselostus'!K142</f>
        <v>0</v>
      </c>
      <c r="K146" s="191">
        <f t="shared" si="3"/>
        <v>0</v>
      </c>
      <c r="L146" s="11"/>
    </row>
    <row r="147" spans="1:12" x14ac:dyDescent="0.35">
      <c r="A147" s="12"/>
      <c r="B147" s="174" t="s">
        <v>194</v>
      </c>
      <c r="C147" s="175">
        <f>'Kustannusarvio|Rakennusselostus'!D143</f>
        <v>0</v>
      </c>
      <c r="D147" s="190">
        <f>'Kustannusarvio|Rakennusselostus'!E143</f>
        <v>0</v>
      </c>
      <c r="E147" s="190">
        <f>'Kustannusarvio|Rakennusselostus'!F143</f>
        <v>0</v>
      </c>
      <c r="F147" s="190">
        <f>'Kustannusarvio|Rakennusselostus'!G143</f>
        <v>0</v>
      </c>
      <c r="G147" s="191">
        <f t="shared" si="2"/>
        <v>0</v>
      </c>
      <c r="H147" s="190">
        <f>'Kustannusarvio|Rakennusselostus'!I143</f>
        <v>0</v>
      </c>
      <c r="I147" s="190">
        <f>'Kustannusarvio|Rakennusselostus'!J143</f>
        <v>0</v>
      </c>
      <c r="J147" s="190">
        <f>'Kustannusarvio|Rakennusselostus'!K143</f>
        <v>0</v>
      </c>
      <c r="K147" s="191">
        <f t="shared" si="3"/>
        <v>0</v>
      </c>
      <c r="L147" s="11"/>
    </row>
    <row r="148" spans="1:12" x14ac:dyDescent="0.35">
      <c r="A148" s="12"/>
      <c r="B148" s="226" t="s">
        <v>195</v>
      </c>
      <c r="C148" s="175">
        <f>'Kustannusarvio|Rakennusselostus'!D144</f>
        <v>0</v>
      </c>
      <c r="D148" s="190">
        <f>'Kustannusarvio|Rakennusselostus'!E144</f>
        <v>0</v>
      </c>
      <c r="E148" s="190">
        <f>'Kustannusarvio|Rakennusselostus'!F144</f>
        <v>0</v>
      </c>
      <c r="F148" s="190">
        <f>'Kustannusarvio|Rakennusselostus'!G144</f>
        <v>0</v>
      </c>
      <c r="G148" s="191">
        <f t="shared" si="2"/>
        <v>0</v>
      </c>
      <c r="H148" s="190">
        <f>'Kustannusarvio|Rakennusselostus'!I144</f>
        <v>0</v>
      </c>
      <c r="I148" s="190">
        <f>'Kustannusarvio|Rakennusselostus'!J144</f>
        <v>0</v>
      </c>
      <c r="J148" s="190">
        <f>'Kustannusarvio|Rakennusselostus'!K144</f>
        <v>0</v>
      </c>
      <c r="K148" s="191">
        <f t="shared" si="3"/>
        <v>0</v>
      </c>
      <c r="L148" s="11"/>
    </row>
    <row r="149" spans="1:12" x14ac:dyDescent="0.35">
      <c r="A149" s="44" t="s">
        <v>176</v>
      </c>
      <c r="B149" s="51"/>
      <c r="C149" s="290"/>
      <c r="D149" s="46"/>
      <c r="E149" s="46"/>
      <c r="F149" s="46"/>
      <c r="G149" s="243"/>
      <c r="H149" s="249"/>
      <c r="I149" s="249"/>
      <c r="J149" s="249"/>
      <c r="K149" s="250"/>
      <c r="L149" s="11"/>
    </row>
    <row r="150" spans="1:12" x14ac:dyDescent="0.35">
      <c r="A150" s="10" t="s">
        <v>177</v>
      </c>
      <c r="B150" s="27"/>
      <c r="C150" s="291"/>
      <c r="D150" s="245"/>
      <c r="E150" s="246"/>
      <c r="F150" s="245"/>
      <c r="G150" s="248"/>
      <c r="H150" s="245"/>
      <c r="I150" s="245"/>
      <c r="J150" s="245"/>
      <c r="K150" s="247"/>
      <c r="L150" s="11"/>
    </row>
    <row r="151" spans="1:12" x14ac:dyDescent="0.35">
      <c r="A151" s="12"/>
      <c r="B151" s="174" t="s">
        <v>197</v>
      </c>
      <c r="C151" s="175">
        <f>'Kustannusarvio|Rakennusselostus'!D147</f>
        <v>0</v>
      </c>
      <c r="D151" s="190">
        <f>'Kustannusarvio|Rakennusselostus'!E147</f>
        <v>0</v>
      </c>
      <c r="E151" s="190">
        <f>'Kustannusarvio|Rakennusselostus'!F147</f>
        <v>0</v>
      </c>
      <c r="F151" s="190">
        <f>'Kustannusarvio|Rakennusselostus'!G147</f>
        <v>0</v>
      </c>
      <c r="G151" s="191">
        <f t="shared" si="2"/>
        <v>0</v>
      </c>
      <c r="H151" s="190">
        <f>'Kustannusarvio|Rakennusselostus'!I147</f>
        <v>0</v>
      </c>
      <c r="I151" s="190">
        <f>'Kustannusarvio|Rakennusselostus'!J147</f>
        <v>0</v>
      </c>
      <c r="J151" s="190">
        <f>'Kustannusarvio|Rakennusselostus'!K147</f>
        <v>0</v>
      </c>
      <c r="K151" s="191">
        <f t="shared" si="3"/>
        <v>0</v>
      </c>
      <c r="L151" s="11"/>
    </row>
    <row r="152" spans="1:12" x14ac:dyDescent="0.35">
      <c r="A152" s="12"/>
      <c r="B152" s="174" t="s">
        <v>108</v>
      </c>
      <c r="C152" s="175">
        <f>'Kustannusarvio|Rakennusselostus'!D148</f>
        <v>0</v>
      </c>
      <c r="D152" s="190">
        <f>'Kustannusarvio|Rakennusselostus'!E148</f>
        <v>0</v>
      </c>
      <c r="E152" s="190">
        <f>'Kustannusarvio|Rakennusselostus'!F148</f>
        <v>0</v>
      </c>
      <c r="F152" s="190">
        <f>'Kustannusarvio|Rakennusselostus'!G148</f>
        <v>0</v>
      </c>
      <c r="G152" s="191">
        <f t="shared" si="2"/>
        <v>0</v>
      </c>
      <c r="H152" s="190">
        <f>'Kustannusarvio|Rakennusselostus'!I148</f>
        <v>0</v>
      </c>
      <c r="I152" s="190">
        <f>'Kustannusarvio|Rakennusselostus'!J148</f>
        <v>0</v>
      </c>
      <c r="J152" s="190">
        <f>'Kustannusarvio|Rakennusselostus'!K148</f>
        <v>0</v>
      </c>
      <c r="K152" s="191">
        <f t="shared" si="3"/>
        <v>0</v>
      </c>
      <c r="L152" s="11"/>
    </row>
    <row r="153" spans="1:12" x14ac:dyDescent="0.35">
      <c r="A153" s="12"/>
      <c r="B153" s="174" t="s">
        <v>109</v>
      </c>
      <c r="C153" s="175">
        <f>'Kustannusarvio|Rakennusselostus'!D149</f>
        <v>0</v>
      </c>
      <c r="D153" s="190">
        <f>'Kustannusarvio|Rakennusselostus'!E149</f>
        <v>0</v>
      </c>
      <c r="E153" s="190">
        <f>'Kustannusarvio|Rakennusselostus'!F149</f>
        <v>0</v>
      </c>
      <c r="F153" s="190">
        <f>'Kustannusarvio|Rakennusselostus'!G149</f>
        <v>0</v>
      </c>
      <c r="G153" s="191">
        <f t="shared" si="2"/>
        <v>0</v>
      </c>
      <c r="H153" s="190">
        <f>'Kustannusarvio|Rakennusselostus'!I149</f>
        <v>0</v>
      </c>
      <c r="I153" s="190">
        <f>'Kustannusarvio|Rakennusselostus'!J149</f>
        <v>0</v>
      </c>
      <c r="J153" s="190">
        <f>'Kustannusarvio|Rakennusselostus'!K149</f>
        <v>0</v>
      </c>
      <c r="K153" s="191">
        <f t="shared" si="3"/>
        <v>0</v>
      </c>
      <c r="L153" s="11"/>
    </row>
    <row r="154" spans="1:12" x14ac:dyDescent="0.35">
      <c r="A154" s="12"/>
      <c r="B154" s="174" t="s">
        <v>178</v>
      </c>
      <c r="C154" s="175">
        <f>'Kustannusarvio|Rakennusselostus'!D150</f>
        <v>0</v>
      </c>
      <c r="D154" s="190">
        <f>'Kustannusarvio|Rakennusselostus'!E150</f>
        <v>0</v>
      </c>
      <c r="E154" s="190">
        <f>'Kustannusarvio|Rakennusselostus'!F150</f>
        <v>0</v>
      </c>
      <c r="F154" s="190">
        <f>'Kustannusarvio|Rakennusselostus'!G150</f>
        <v>0</v>
      </c>
      <c r="G154" s="191">
        <f t="shared" si="2"/>
        <v>0</v>
      </c>
      <c r="H154" s="190">
        <f>'Kustannusarvio|Rakennusselostus'!I150</f>
        <v>0</v>
      </c>
      <c r="I154" s="190">
        <f>'Kustannusarvio|Rakennusselostus'!J150</f>
        <v>0</v>
      </c>
      <c r="J154" s="190">
        <f>'Kustannusarvio|Rakennusselostus'!K150</f>
        <v>0</v>
      </c>
      <c r="K154" s="191">
        <f t="shared" si="3"/>
        <v>0</v>
      </c>
      <c r="L154" s="11"/>
    </row>
    <row r="155" spans="1:12" x14ac:dyDescent="0.35">
      <c r="A155" s="12"/>
      <c r="B155" s="174" t="s">
        <v>179</v>
      </c>
      <c r="C155" s="175">
        <f>'Kustannusarvio|Rakennusselostus'!D151</f>
        <v>0</v>
      </c>
      <c r="D155" s="190">
        <f>'Kustannusarvio|Rakennusselostus'!E151</f>
        <v>0</v>
      </c>
      <c r="E155" s="190">
        <f>'Kustannusarvio|Rakennusselostus'!F151</f>
        <v>0</v>
      </c>
      <c r="F155" s="190">
        <f>'Kustannusarvio|Rakennusselostus'!G151</f>
        <v>0</v>
      </c>
      <c r="G155" s="191">
        <f t="shared" si="2"/>
        <v>0</v>
      </c>
      <c r="H155" s="190">
        <f>'Kustannusarvio|Rakennusselostus'!I151</f>
        <v>0</v>
      </c>
      <c r="I155" s="190">
        <f>'Kustannusarvio|Rakennusselostus'!J151</f>
        <v>0</v>
      </c>
      <c r="J155" s="190">
        <f>'Kustannusarvio|Rakennusselostus'!K151</f>
        <v>0</v>
      </c>
      <c r="K155" s="191">
        <f t="shared" si="3"/>
        <v>0</v>
      </c>
      <c r="L155" s="11"/>
    </row>
    <row r="156" spans="1:12" x14ac:dyDescent="0.35">
      <c r="A156" s="12"/>
      <c r="B156" s="174" t="s">
        <v>21</v>
      </c>
      <c r="C156" s="175">
        <f>'Kustannusarvio|Rakennusselostus'!D152</f>
        <v>0</v>
      </c>
      <c r="D156" s="190">
        <f>'Kustannusarvio|Rakennusselostus'!E152</f>
        <v>0</v>
      </c>
      <c r="E156" s="190">
        <f>'Kustannusarvio|Rakennusselostus'!F152</f>
        <v>0</v>
      </c>
      <c r="F156" s="190">
        <f>'Kustannusarvio|Rakennusselostus'!G152</f>
        <v>0</v>
      </c>
      <c r="G156" s="191">
        <f t="shared" si="2"/>
        <v>0</v>
      </c>
      <c r="H156" s="190">
        <f>'Kustannusarvio|Rakennusselostus'!I152</f>
        <v>0</v>
      </c>
      <c r="I156" s="190">
        <f>'Kustannusarvio|Rakennusselostus'!J152</f>
        <v>0</v>
      </c>
      <c r="J156" s="190">
        <f>'Kustannusarvio|Rakennusselostus'!K152</f>
        <v>0</v>
      </c>
      <c r="K156" s="191">
        <f t="shared" si="3"/>
        <v>0</v>
      </c>
      <c r="L156" s="11"/>
    </row>
    <row r="157" spans="1:12" x14ac:dyDescent="0.35">
      <c r="A157" s="12"/>
      <c r="B157" s="174" t="s">
        <v>22</v>
      </c>
      <c r="C157" s="175">
        <f>'Kustannusarvio|Rakennusselostus'!D153</f>
        <v>0</v>
      </c>
      <c r="D157" s="190">
        <f>'Kustannusarvio|Rakennusselostus'!E153</f>
        <v>0</v>
      </c>
      <c r="E157" s="190">
        <f>'Kustannusarvio|Rakennusselostus'!F153</f>
        <v>0</v>
      </c>
      <c r="F157" s="190">
        <f>'Kustannusarvio|Rakennusselostus'!G153</f>
        <v>0</v>
      </c>
      <c r="G157" s="191">
        <f t="shared" si="2"/>
        <v>0</v>
      </c>
      <c r="H157" s="190">
        <f>'Kustannusarvio|Rakennusselostus'!I153</f>
        <v>0</v>
      </c>
      <c r="I157" s="190">
        <f>'Kustannusarvio|Rakennusselostus'!J153</f>
        <v>0</v>
      </c>
      <c r="J157" s="190">
        <f>'Kustannusarvio|Rakennusselostus'!K153</f>
        <v>0</v>
      </c>
      <c r="K157" s="191">
        <f t="shared" si="3"/>
        <v>0</v>
      </c>
      <c r="L157" s="11"/>
    </row>
    <row r="158" spans="1:12" x14ac:dyDescent="0.35">
      <c r="A158" s="12"/>
      <c r="B158" s="174" t="s">
        <v>180</v>
      </c>
      <c r="C158" s="175">
        <f>'Kustannusarvio|Rakennusselostus'!D154</f>
        <v>0</v>
      </c>
      <c r="D158" s="190">
        <f>'Kustannusarvio|Rakennusselostus'!E154</f>
        <v>0</v>
      </c>
      <c r="E158" s="190">
        <f>'Kustannusarvio|Rakennusselostus'!F154</f>
        <v>0</v>
      </c>
      <c r="F158" s="190">
        <f>'Kustannusarvio|Rakennusselostus'!G154</f>
        <v>0</v>
      </c>
      <c r="G158" s="191">
        <f t="shared" si="2"/>
        <v>0</v>
      </c>
      <c r="H158" s="190">
        <f>'Kustannusarvio|Rakennusselostus'!I154</f>
        <v>0</v>
      </c>
      <c r="I158" s="190">
        <f>'Kustannusarvio|Rakennusselostus'!J154</f>
        <v>0</v>
      </c>
      <c r="J158" s="190">
        <f>'Kustannusarvio|Rakennusselostus'!K154</f>
        <v>0</v>
      </c>
      <c r="K158" s="191">
        <f t="shared" si="3"/>
        <v>0</v>
      </c>
      <c r="L158" s="11"/>
    </row>
    <row r="159" spans="1:12" x14ac:dyDescent="0.35">
      <c r="A159" s="12"/>
      <c r="B159" s="174" t="s">
        <v>181</v>
      </c>
      <c r="C159" s="175">
        <f>'Kustannusarvio|Rakennusselostus'!D155</f>
        <v>0</v>
      </c>
      <c r="D159" s="190">
        <f>'Kustannusarvio|Rakennusselostus'!E155</f>
        <v>0</v>
      </c>
      <c r="E159" s="190">
        <f>'Kustannusarvio|Rakennusselostus'!F155</f>
        <v>0</v>
      </c>
      <c r="F159" s="190">
        <f>'Kustannusarvio|Rakennusselostus'!G155</f>
        <v>0</v>
      </c>
      <c r="G159" s="191">
        <f t="shared" si="2"/>
        <v>0</v>
      </c>
      <c r="H159" s="190">
        <f>'Kustannusarvio|Rakennusselostus'!I155</f>
        <v>0</v>
      </c>
      <c r="I159" s="190">
        <f>'Kustannusarvio|Rakennusselostus'!J155</f>
        <v>0</v>
      </c>
      <c r="J159" s="190">
        <f>'Kustannusarvio|Rakennusselostus'!K155</f>
        <v>0</v>
      </c>
      <c r="K159" s="191">
        <f t="shared" si="3"/>
        <v>0</v>
      </c>
      <c r="L159" s="11"/>
    </row>
    <row r="160" spans="1:12" x14ac:dyDescent="0.35">
      <c r="A160" s="12"/>
      <c r="B160" s="174" t="s">
        <v>251</v>
      </c>
      <c r="C160" s="175">
        <f>'Kustannusarvio|Rakennusselostus'!D156</f>
        <v>0</v>
      </c>
      <c r="D160" s="190">
        <f>'Kustannusarvio|Rakennusselostus'!E156</f>
        <v>0</v>
      </c>
      <c r="E160" s="190">
        <f>'Kustannusarvio|Rakennusselostus'!F156</f>
        <v>0</v>
      </c>
      <c r="F160" s="190">
        <f>'Kustannusarvio|Rakennusselostus'!G156</f>
        <v>0</v>
      </c>
      <c r="G160" s="191">
        <f t="shared" si="2"/>
        <v>0</v>
      </c>
      <c r="H160" s="190">
        <f>'Kustannusarvio|Rakennusselostus'!I156</f>
        <v>0</v>
      </c>
      <c r="I160" s="190">
        <f>'Kustannusarvio|Rakennusselostus'!J156</f>
        <v>0</v>
      </c>
      <c r="J160" s="190">
        <f>'Kustannusarvio|Rakennusselostus'!K156</f>
        <v>0</v>
      </c>
      <c r="K160" s="191">
        <f t="shared" si="3"/>
        <v>0</v>
      </c>
      <c r="L160" s="11"/>
    </row>
    <row r="161" spans="1:12" x14ac:dyDescent="0.35">
      <c r="A161" s="12"/>
      <c r="B161" s="174" t="s">
        <v>182</v>
      </c>
      <c r="C161" s="175">
        <f>'Kustannusarvio|Rakennusselostus'!D157</f>
        <v>0</v>
      </c>
      <c r="D161" s="190">
        <f>'Kustannusarvio|Rakennusselostus'!E157</f>
        <v>0</v>
      </c>
      <c r="E161" s="190">
        <f>'Kustannusarvio|Rakennusselostus'!F157</f>
        <v>0</v>
      </c>
      <c r="F161" s="190">
        <f>'Kustannusarvio|Rakennusselostus'!G157</f>
        <v>0</v>
      </c>
      <c r="G161" s="191">
        <f t="shared" si="2"/>
        <v>0</v>
      </c>
      <c r="H161" s="190">
        <f>'Kustannusarvio|Rakennusselostus'!I157</f>
        <v>0</v>
      </c>
      <c r="I161" s="190">
        <f>'Kustannusarvio|Rakennusselostus'!J157</f>
        <v>0</v>
      </c>
      <c r="J161" s="190">
        <f>'Kustannusarvio|Rakennusselostus'!K157</f>
        <v>0</v>
      </c>
      <c r="K161" s="191">
        <f t="shared" si="3"/>
        <v>0</v>
      </c>
      <c r="L161" s="11"/>
    </row>
    <row r="162" spans="1:12" x14ac:dyDescent="0.35">
      <c r="A162" s="12"/>
      <c r="B162" s="174" t="s">
        <v>23</v>
      </c>
      <c r="C162" s="175">
        <f>'Kustannusarvio|Rakennusselostus'!D158</f>
        <v>0</v>
      </c>
      <c r="D162" s="190">
        <f>'Kustannusarvio|Rakennusselostus'!E158</f>
        <v>0</v>
      </c>
      <c r="E162" s="190">
        <f>'Kustannusarvio|Rakennusselostus'!F158</f>
        <v>0</v>
      </c>
      <c r="F162" s="190">
        <f>'Kustannusarvio|Rakennusselostus'!G158</f>
        <v>0</v>
      </c>
      <c r="G162" s="191">
        <f t="shared" si="2"/>
        <v>0</v>
      </c>
      <c r="H162" s="190">
        <f>'Kustannusarvio|Rakennusselostus'!I158</f>
        <v>0</v>
      </c>
      <c r="I162" s="190">
        <f>'Kustannusarvio|Rakennusselostus'!J158</f>
        <v>0</v>
      </c>
      <c r="J162" s="190">
        <f>'Kustannusarvio|Rakennusselostus'!K158</f>
        <v>0</v>
      </c>
      <c r="K162" s="191">
        <f t="shared" si="3"/>
        <v>0</v>
      </c>
      <c r="L162" s="11"/>
    </row>
    <row r="163" spans="1:12" x14ac:dyDescent="0.35">
      <c r="A163" s="10" t="s">
        <v>110</v>
      </c>
      <c r="B163" s="27"/>
      <c r="C163" s="291"/>
      <c r="D163" s="245"/>
      <c r="E163" s="246"/>
      <c r="F163" s="245"/>
      <c r="G163" s="248"/>
      <c r="H163" s="245"/>
      <c r="I163" s="245"/>
      <c r="J163" s="245"/>
      <c r="K163" s="247"/>
      <c r="L163" s="11"/>
    </row>
    <row r="164" spans="1:12" x14ac:dyDescent="0.35">
      <c r="A164" s="12"/>
      <c r="B164" s="174" t="s">
        <v>122</v>
      </c>
      <c r="C164" s="175">
        <f>'Kustannusarvio|Rakennusselostus'!D160</f>
        <v>0</v>
      </c>
      <c r="D164" s="190">
        <f>'Kustannusarvio|Rakennusselostus'!E160</f>
        <v>0</v>
      </c>
      <c r="E164" s="190">
        <f>'Kustannusarvio|Rakennusselostus'!F160</f>
        <v>0</v>
      </c>
      <c r="F164" s="190">
        <f>'Kustannusarvio|Rakennusselostus'!G160</f>
        <v>0</v>
      </c>
      <c r="G164" s="191">
        <f t="shared" si="2"/>
        <v>0</v>
      </c>
      <c r="H164" s="190">
        <f>'Kustannusarvio|Rakennusselostus'!I160</f>
        <v>0</v>
      </c>
      <c r="I164" s="190">
        <f>'Kustannusarvio|Rakennusselostus'!J160</f>
        <v>0</v>
      </c>
      <c r="J164" s="190">
        <f>'Kustannusarvio|Rakennusselostus'!K160</f>
        <v>0</v>
      </c>
      <c r="K164" s="191">
        <f t="shared" si="3"/>
        <v>0</v>
      </c>
      <c r="L164" s="11"/>
    </row>
    <row r="165" spans="1:12" x14ac:dyDescent="0.35">
      <c r="A165" s="12"/>
      <c r="B165" s="174" t="s">
        <v>123</v>
      </c>
      <c r="C165" s="175">
        <f>'Kustannusarvio|Rakennusselostus'!D161</f>
        <v>0</v>
      </c>
      <c r="D165" s="190">
        <f>'Kustannusarvio|Rakennusselostus'!E161</f>
        <v>0</v>
      </c>
      <c r="E165" s="190">
        <f>'Kustannusarvio|Rakennusselostus'!F161</f>
        <v>0</v>
      </c>
      <c r="F165" s="190">
        <f>'Kustannusarvio|Rakennusselostus'!G161</f>
        <v>0</v>
      </c>
      <c r="G165" s="191">
        <f t="shared" si="2"/>
        <v>0</v>
      </c>
      <c r="H165" s="190">
        <f>'Kustannusarvio|Rakennusselostus'!I161</f>
        <v>0</v>
      </c>
      <c r="I165" s="190">
        <f>'Kustannusarvio|Rakennusselostus'!J161</f>
        <v>0</v>
      </c>
      <c r="J165" s="190">
        <f>'Kustannusarvio|Rakennusselostus'!K161</f>
        <v>0</v>
      </c>
      <c r="K165" s="191">
        <f t="shared" si="3"/>
        <v>0</v>
      </c>
      <c r="L165" s="11"/>
    </row>
    <row r="166" spans="1:12" x14ac:dyDescent="0.35">
      <c r="A166" s="12"/>
      <c r="B166" s="174" t="s">
        <v>186</v>
      </c>
      <c r="C166" s="175">
        <f>'Kustannusarvio|Rakennusselostus'!D162</f>
        <v>0</v>
      </c>
      <c r="D166" s="190">
        <f>'Kustannusarvio|Rakennusselostus'!E162</f>
        <v>0</v>
      </c>
      <c r="E166" s="190">
        <f>'Kustannusarvio|Rakennusselostus'!F162</f>
        <v>0</v>
      </c>
      <c r="F166" s="190">
        <f>'Kustannusarvio|Rakennusselostus'!G162</f>
        <v>0</v>
      </c>
      <c r="G166" s="191">
        <f t="shared" si="2"/>
        <v>0</v>
      </c>
      <c r="H166" s="190">
        <f>'Kustannusarvio|Rakennusselostus'!I162</f>
        <v>0</v>
      </c>
      <c r="I166" s="190">
        <f>'Kustannusarvio|Rakennusselostus'!J162</f>
        <v>0</v>
      </c>
      <c r="J166" s="190">
        <f>'Kustannusarvio|Rakennusselostus'!K162</f>
        <v>0</v>
      </c>
      <c r="K166" s="191">
        <f t="shared" si="3"/>
        <v>0</v>
      </c>
      <c r="L166" s="11"/>
    </row>
    <row r="167" spans="1:12" x14ac:dyDescent="0.35">
      <c r="A167" s="12"/>
      <c r="B167" s="174" t="s">
        <v>183</v>
      </c>
      <c r="C167" s="175">
        <f>'Kustannusarvio|Rakennusselostus'!D163</f>
        <v>0</v>
      </c>
      <c r="D167" s="190">
        <f>'Kustannusarvio|Rakennusselostus'!E163</f>
        <v>0</v>
      </c>
      <c r="E167" s="190">
        <f>'Kustannusarvio|Rakennusselostus'!F163</f>
        <v>0</v>
      </c>
      <c r="F167" s="190">
        <f>'Kustannusarvio|Rakennusselostus'!G163</f>
        <v>0</v>
      </c>
      <c r="G167" s="191">
        <f t="shared" si="2"/>
        <v>0</v>
      </c>
      <c r="H167" s="190">
        <f>'Kustannusarvio|Rakennusselostus'!I163</f>
        <v>0</v>
      </c>
      <c r="I167" s="190">
        <f>'Kustannusarvio|Rakennusselostus'!J163</f>
        <v>0</v>
      </c>
      <c r="J167" s="190">
        <f>'Kustannusarvio|Rakennusselostus'!K163</f>
        <v>0</v>
      </c>
      <c r="K167" s="191">
        <f t="shared" si="3"/>
        <v>0</v>
      </c>
      <c r="L167" s="11"/>
    </row>
    <row r="168" spans="1:12" x14ac:dyDescent="0.35">
      <c r="A168" s="12"/>
      <c r="B168" s="174" t="s">
        <v>184</v>
      </c>
      <c r="C168" s="175">
        <f>'Kustannusarvio|Rakennusselostus'!D164</f>
        <v>0</v>
      </c>
      <c r="D168" s="190">
        <f>'Kustannusarvio|Rakennusselostus'!E164</f>
        <v>0</v>
      </c>
      <c r="E168" s="190">
        <f>'Kustannusarvio|Rakennusselostus'!F164</f>
        <v>0</v>
      </c>
      <c r="F168" s="190">
        <f>'Kustannusarvio|Rakennusselostus'!G164</f>
        <v>0</v>
      </c>
      <c r="G168" s="191">
        <f t="shared" si="2"/>
        <v>0</v>
      </c>
      <c r="H168" s="190">
        <f>'Kustannusarvio|Rakennusselostus'!I164</f>
        <v>0</v>
      </c>
      <c r="I168" s="190">
        <f>'Kustannusarvio|Rakennusselostus'!J164</f>
        <v>0</v>
      </c>
      <c r="J168" s="190">
        <f>'Kustannusarvio|Rakennusselostus'!K164</f>
        <v>0</v>
      </c>
      <c r="K168" s="191">
        <f t="shared" si="3"/>
        <v>0</v>
      </c>
      <c r="L168" s="11"/>
    </row>
    <row r="169" spans="1:12" x14ac:dyDescent="0.35">
      <c r="A169" s="12"/>
      <c r="B169" s="174" t="s">
        <v>185</v>
      </c>
      <c r="C169" s="175">
        <f>'Kustannusarvio|Rakennusselostus'!D165</f>
        <v>0</v>
      </c>
      <c r="D169" s="190">
        <f>'Kustannusarvio|Rakennusselostus'!E165</f>
        <v>0</v>
      </c>
      <c r="E169" s="190">
        <f>'Kustannusarvio|Rakennusselostus'!F165</f>
        <v>0</v>
      </c>
      <c r="F169" s="190">
        <f>'Kustannusarvio|Rakennusselostus'!G165</f>
        <v>0</v>
      </c>
      <c r="G169" s="191">
        <f t="shared" si="2"/>
        <v>0</v>
      </c>
      <c r="H169" s="190">
        <f>'Kustannusarvio|Rakennusselostus'!I165</f>
        <v>0</v>
      </c>
      <c r="I169" s="190">
        <f>'Kustannusarvio|Rakennusselostus'!J165</f>
        <v>0</v>
      </c>
      <c r="J169" s="190">
        <f>'Kustannusarvio|Rakennusselostus'!K165</f>
        <v>0</v>
      </c>
      <c r="K169" s="191">
        <f t="shared" si="3"/>
        <v>0</v>
      </c>
      <c r="L169" s="11"/>
    </row>
    <row r="170" spans="1:12" x14ac:dyDescent="0.35">
      <c r="A170" s="12"/>
      <c r="B170" s="174" t="s">
        <v>113</v>
      </c>
      <c r="C170" s="175">
        <f>'Kustannusarvio|Rakennusselostus'!D166</f>
        <v>0</v>
      </c>
      <c r="D170" s="190">
        <f>'Kustannusarvio|Rakennusselostus'!E166</f>
        <v>0</v>
      </c>
      <c r="E170" s="190">
        <f>'Kustannusarvio|Rakennusselostus'!F166</f>
        <v>0</v>
      </c>
      <c r="F170" s="190">
        <f>'Kustannusarvio|Rakennusselostus'!G166</f>
        <v>0</v>
      </c>
      <c r="G170" s="191">
        <f t="shared" si="2"/>
        <v>0</v>
      </c>
      <c r="H170" s="190">
        <f>'Kustannusarvio|Rakennusselostus'!I166</f>
        <v>0</v>
      </c>
      <c r="I170" s="190">
        <f>'Kustannusarvio|Rakennusselostus'!J166</f>
        <v>0</v>
      </c>
      <c r="J170" s="190">
        <f>'Kustannusarvio|Rakennusselostus'!K166</f>
        <v>0</v>
      </c>
      <c r="K170" s="191">
        <f t="shared" si="3"/>
        <v>0</v>
      </c>
      <c r="L170" s="11"/>
    </row>
    <row r="171" spans="1:12" x14ac:dyDescent="0.35">
      <c r="A171" s="12"/>
      <c r="B171" s="188" t="str">
        <f>SUBSTITUTE(IF('Kustannusarvio|Rakennusselostus'!C167="",'Kustannusarvio|Rakennusselostus'!B167,'Kustannusarvio|Rakennusselostus'!C167),":","")</f>
        <v>Muu energiakorjaus</v>
      </c>
      <c r="C171" s="175">
        <f>'Kustannusarvio|Rakennusselostus'!D167</f>
        <v>0</v>
      </c>
      <c r="D171" s="190">
        <f>'Kustannusarvio|Rakennusselostus'!E167</f>
        <v>0</v>
      </c>
      <c r="E171" s="190">
        <f>'Kustannusarvio|Rakennusselostus'!F167</f>
        <v>0</v>
      </c>
      <c r="F171" s="190">
        <f>'Kustannusarvio|Rakennusselostus'!G167</f>
        <v>0</v>
      </c>
      <c r="G171" s="191">
        <f t="shared" si="2"/>
        <v>0</v>
      </c>
      <c r="H171" s="190">
        <f>'Kustannusarvio|Rakennusselostus'!I167</f>
        <v>0</v>
      </c>
      <c r="I171" s="190">
        <f>'Kustannusarvio|Rakennusselostus'!J167</f>
        <v>0</v>
      </c>
      <c r="J171" s="190">
        <f>'Kustannusarvio|Rakennusselostus'!K167</f>
        <v>0</v>
      </c>
      <c r="K171" s="191">
        <f t="shared" si="3"/>
        <v>0</v>
      </c>
      <c r="L171" s="11"/>
    </row>
    <row r="172" spans="1:12" x14ac:dyDescent="0.35">
      <c r="A172" s="44" t="s">
        <v>171</v>
      </c>
      <c r="B172" s="51"/>
      <c r="C172" s="290"/>
      <c r="D172" s="46"/>
      <c r="E172" s="46"/>
      <c r="F172" s="46"/>
      <c r="G172" s="243"/>
      <c r="H172" s="46"/>
      <c r="I172" s="46"/>
      <c r="J172" s="46"/>
      <c r="K172" s="242"/>
      <c r="L172" s="11"/>
    </row>
    <row r="173" spans="1:12" x14ac:dyDescent="0.35">
      <c r="A173" s="12"/>
      <c r="B173" s="174" t="s">
        <v>172</v>
      </c>
      <c r="C173" s="175">
        <f>'Kustannusarvio|Rakennusselostus'!D169</f>
        <v>0</v>
      </c>
      <c r="D173" s="190">
        <f>'Kustannusarvio|Rakennusselostus'!E169</f>
        <v>0</v>
      </c>
      <c r="E173" s="190">
        <f>'Kustannusarvio|Rakennusselostus'!F169</f>
        <v>0</v>
      </c>
      <c r="F173" s="190">
        <f>'Kustannusarvio|Rakennusselostus'!G169</f>
        <v>0</v>
      </c>
      <c r="G173" s="191">
        <f t="shared" si="2"/>
        <v>0</v>
      </c>
      <c r="H173" s="240">
        <f>'Kustannusarvio|Rakennusselostus'!I169</f>
        <v>0</v>
      </c>
      <c r="I173" s="240">
        <f>'Kustannusarvio|Rakennusselostus'!J169</f>
        <v>0</v>
      </c>
      <c r="J173" s="240">
        <f>'Kustannusarvio|Rakennusselostus'!K169</f>
        <v>0</v>
      </c>
      <c r="K173" s="244">
        <f t="shared" si="3"/>
        <v>0</v>
      </c>
      <c r="L173" s="11"/>
    </row>
    <row r="174" spans="1:12" x14ac:dyDescent="0.35">
      <c r="A174" s="12"/>
      <c r="B174" s="174" t="s">
        <v>174</v>
      </c>
      <c r="C174" s="175">
        <f>'Kustannusarvio|Rakennusselostus'!D170</f>
        <v>0</v>
      </c>
      <c r="D174" s="190">
        <f>'Kustannusarvio|Rakennusselostus'!E170</f>
        <v>0</v>
      </c>
      <c r="E174" s="190">
        <f>'Kustannusarvio|Rakennusselostus'!F170</f>
        <v>0</v>
      </c>
      <c r="F174" s="190">
        <f>'Kustannusarvio|Rakennusselostus'!G170</f>
        <v>0</v>
      </c>
      <c r="G174" s="191">
        <f t="shared" ref="G174:G183" si="4">D174*F174</f>
        <v>0</v>
      </c>
      <c r="H174" s="190">
        <f>'Kustannusarvio|Rakennusselostus'!I170</f>
        <v>0</v>
      </c>
      <c r="I174" s="190">
        <f>'Kustannusarvio|Rakennusselostus'!J170</f>
        <v>0</v>
      </c>
      <c r="J174" s="190">
        <f>'Kustannusarvio|Rakennusselostus'!K170</f>
        <v>0</v>
      </c>
      <c r="K174" s="191">
        <f t="shared" ref="K174:K183" si="5">G174+H174+(I174*J174)</f>
        <v>0</v>
      </c>
      <c r="L174" s="11"/>
    </row>
    <row r="175" spans="1:12" x14ac:dyDescent="0.35">
      <c r="A175" s="12"/>
      <c r="B175" s="174" t="s">
        <v>24</v>
      </c>
      <c r="C175" s="175">
        <f>'Kustannusarvio|Rakennusselostus'!D171</f>
        <v>0</v>
      </c>
      <c r="D175" s="190">
        <f>'Kustannusarvio|Rakennusselostus'!E171</f>
        <v>0</v>
      </c>
      <c r="E175" s="190">
        <f>'Kustannusarvio|Rakennusselostus'!F171</f>
        <v>0</v>
      </c>
      <c r="F175" s="190">
        <f>'Kustannusarvio|Rakennusselostus'!G171</f>
        <v>0</v>
      </c>
      <c r="G175" s="191">
        <f t="shared" si="4"/>
        <v>0</v>
      </c>
      <c r="H175" s="190">
        <f>'Kustannusarvio|Rakennusselostus'!I171</f>
        <v>0</v>
      </c>
      <c r="I175" s="190">
        <f>'Kustannusarvio|Rakennusselostus'!J171</f>
        <v>0</v>
      </c>
      <c r="J175" s="190">
        <f>'Kustannusarvio|Rakennusselostus'!K171</f>
        <v>0</v>
      </c>
      <c r="K175" s="191">
        <f t="shared" si="5"/>
        <v>0</v>
      </c>
      <c r="L175" s="11"/>
    </row>
    <row r="176" spans="1:12" x14ac:dyDescent="0.35">
      <c r="A176" s="12"/>
      <c r="B176" s="174" t="s">
        <v>25</v>
      </c>
      <c r="C176" s="175">
        <f>'Kustannusarvio|Rakennusselostus'!D172</f>
        <v>0</v>
      </c>
      <c r="D176" s="190">
        <f>'Kustannusarvio|Rakennusselostus'!E172</f>
        <v>0</v>
      </c>
      <c r="E176" s="190">
        <f>'Kustannusarvio|Rakennusselostus'!F172</f>
        <v>0</v>
      </c>
      <c r="F176" s="190">
        <f>'Kustannusarvio|Rakennusselostus'!G172</f>
        <v>0</v>
      </c>
      <c r="G176" s="191">
        <f t="shared" si="4"/>
        <v>0</v>
      </c>
      <c r="H176" s="190">
        <f>'Kustannusarvio|Rakennusselostus'!I172</f>
        <v>0</v>
      </c>
      <c r="I176" s="190">
        <f>'Kustannusarvio|Rakennusselostus'!J172</f>
        <v>0</v>
      </c>
      <c r="J176" s="190">
        <f>'Kustannusarvio|Rakennusselostus'!K172</f>
        <v>0</v>
      </c>
      <c r="K176" s="191">
        <f t="shared" si="5"/>
        <v>0</v>
      </c>
      <c r="L176" s="11"/>
    </row>
    <row r="177" spans="1:14" x14ac:dyDescent="0.35">
      <c r="A177" s="12"/>
      <c r="B177" s="174" t="s">
        <v>173</v>
      </c>
      <c r="C177" s="175">
        <f>'Kustannusarvio|Rakennusselostus'!D173</f>
        <v>0</v>
      </c>
      <c r="D177" s="190">
        <f>'Kustannusarvio|Rakennusselostus'!E173</f>
        <v>0</v>
      </c>
      <c r="E177" s="190">
        <f>'Kustannusarvio|Rakennusselostus'!F173</f>
        <v>0</v>
      </c>
      <c r="F177" s="190">
        <f>'Kustannusarvio|Rakennusselostus'!G173</f>
        <v>0</v>
      </c>
      <c r="G177" s="191">
        <f t="shared" si="4"/>
        <v>0</v>
      </c>
      <c r="H177" s="190">
        <f>'Kustannusarvio|Rakennusselostus'!I173</f>
        <v>0</v>
      </c>
      <c r="I177" s="190">
        <f>'Kustannusarvio|Rakennusselostus'!J173</f>
        <v>0</v>
      </c>
      <c r="J177" s="190">
        <f>'Kustannusarvio|Rakennusselostus'!K173</f>
        <v>0</v>
      </c>
      <c r="K177" s="191">
        <f t="shared" si="5"/>
        <v>0</v>
      </c>
      <c r="L177" s="11"/>
    </row>
    <row r="178" spans="1:14" x14ac:dyDescent="0.35">
      <c r="A178" s="12"/>
      <c r="B178" s="174" t="s">
        <v>175</v>
      </c>
      <c r="C178" s="175">
        <f>'Kustannusarvio|Rakennusselostus'!D174</f>
        <v>0</v>
      </c>
      <c r="D178" s="190">
        <f>'Kustannusarvio|Rakennusselostus'!E174</f>
        <v>0</v>
      </c>
      <c r="E178" s="190">
        <f>'Kustannusarvio|Rakennusselostus'!F174</f>
        <v>0</v>
      </c>
      <c r="F178" s="190">
        <f>'Kustannusarvio|Rakennusselostus'!G174</f>
        <v>0</v>
      </c>
      <c r="G178" s="191">
        <f t="shared" si="4"/>
        <v>0</v>
      </c>
      <c r="H178" s="190">
        <f>'Kustannusarvio|Rakennusselostus'!I174</f>
        <v>0</v>
      </c>
      <c r="I178" s="190">
        <f>'Kustannusarvio|Rakennusselostus'!J174</f>
        <v>0</v>
      </c>
      <c r="J178" s="190">
        <f>'Kustannusarvio|Rakennusselostus'!K174</f>
        <v>0</v>
      </c>
      <c r="K178" s="191">
        <f t="shared" si="5"/>
        <v>0</v>
      </c>
      <c r="L178" s="11"/>
    </row>
    <row r="179" spans="1:14" x14ac:dyDescent="0.35">
      <c r="A179" s="12"/>
      <c r="B179" s="174" t="s">
        <v>170</v>
      </c>
      <c r="C179" s="175">
        <f>'Kustannusarvio|Rakennusselostus'!D175</f>
        <v>0</v>
      </c>
      <c r="D179" s="190">
        <f>'Kustannusarvio|Rakennusselostus'!E175</f>
        <v>0</v>
      </c>
      <c r="E179" s="190">
        <f>'Kustannusarvio|Rakennusselostus'!F175</f>
        <v>0</v>
      </c>
      <c r="F179" s="190">
        <f>'Kustannusarvio|Rakennusselostus'!G175</f>
        <v>0</v>
      </c>
      <c r="G179" s="191">
        <f t="shared" si="4"/>
        <v>0</v>
      </c>
      <c r="H179" s="190">
        <f>'Kustannusarvio|Rakennusselostus'!I175</f>
        <v>0</v>
      </c>
      <c r="I179" s="190">
        <f>'Kustannusarvio|Rakennusselostus'!J175</f>
        <v>0</v>
      </c>
      <c r="J179" s="190">
        <f>'Kustannusarvio|Rakennusselostus'!K175</f>
        <v>0</v>
      </c>
      <c r="K179" s="191">
        <f t="shared" si="5"/>
        <v>0</v>
      </c>
      <c r="L179" s="11"/>
    </row>
    <row r="180" spans="1:14" x14ac:dyDescent="0.35">
      <c r="A180" s="12"/>
      <c r="B180" s="188" t="str">
        <f>SUBSTITUTE(IF('Kustannusarvio|Rakennusselostus'!C176="",'Kustannusarvio|Rakennusselostus'!B176,'Kustannusarvio|Rakennusselostus'!C176),":","")</f>
        <v>Muu tuote tai palvelu</v>
      </c>
      <c r="C180" s="175">
        <f>'Kustannusarvio|Rakennusselostus'!D176</f>
        <v>0</v>
      </c>
      <c r="D180" s="190">
        <f>'Kustannusarvio|Rakennusselostus'!E176</f>
        <v>0</v>
      </c>
      <c r="E180" s="190">
        <f>'Kustannusarvio|Rakennusselostus'!F176</f>
        <v>0</v>
      </c>
      <c r="F180" s="190">
        <f>'Kustannusarvio|Rakennusselostus'!G176</f>
        <v>0</v>
      </c>
      <c r="G180" s="191">
        <f t="shared" si="4"/>
        <v>0</v>
      </c>
      <c r="H180" s="190">
        <f>'Kustannusarvio|Rakennusselostus'!I176</f>
        <v>0</v>
      </c>
      <c r="I180" s="190">
        <f>'Kustannusarvio|Rakennusselostus'!J176</f>
        <v>0</v>
      </c>
      <c r="J180" s="190">
        <f>'Kustannusarvio|Rakennusselostus'!K176</f>
        <v>0</v>
      </c>
      <c r="K180" s="191">
        <f t="shared" si="5"/>
        <v>0</v>
      </c>
      <c r="L180" s="11"/>
    </row>
    <row r="181" spans="1:14" x14ac:dyDescent="0.35">
      <c r="A181" s="12"/>
      <c r="B181" s="188" t="str">
        <f>SUBSTITUTE(IF('Kustannusarvio|Rakennusselostus'!C177="",'Kustannusarvio|Rakennusselostus'!B177,'Kustannusarvio|Rakennusselostus'!C177),":","")</f>
        <v>Muu tuote tai palvelu</v>
      </c>
      <c r="C181" s="175">
        <f>'Kustannusarvio|Rakennusselostus'!D177</f>
        <v>0</v>
      </c>
      <c r="D181" s="190">
        <f>'Kustannusarvio|Rakennusselostus'!E177</f>
        <v>0</v>
      </c>
      <c r="E181" s="190">
        <f>'Kustannusarvio|Rakennusselostus'!F177</f>
        <v>0</v>
      </c>
      <c r="F181" s="190">
        <f>'Kustannusarvio|Rakennusselostus'!G177</f>
        <v>0</v>
      </c>
      <c r="G181" s="191">
        <f t="shared" si="4"/>
        <v>0</v>
      </c>
      <c r="H181" s="190">
        <f>'Kustannusarvio|Rakennusselostus'!I177</f>
        <v>0</v>
      </c>
      <c r="I181" s="190">
        <f>'Kustannusarvio|Rakennusselostus'!J177</f>
        <v>0</v>
      </c>
      <c r="J181" s="190">
        <f>'Kustannusarvio|Rakennusselostus'!K177</f>
        <v>0</v>
      </c>
      <c r="K181" s="191">
        <f t="shared" si="5"/>
        <v>0</v>
      </c>
      <c r="L181" s="11"/>
    </row>
    <row r="182" spans="1:14" x14ac:dyDescent="0.35">
      <c r="A182" s="12"/>
      <c r="B182" s="188" t="str">
        <f>SUBSTITUTE(IF('Kustannusarvio|Rakennusselostus'!C178="",'Kustannusarvio|Rakennusselostus'!B178,'Kustannusarvio|Rakennusselostus'!C178),":","")</f>
        <v>Muu tuote tai palvelu</v>
      </c>
      <c r="C182" s="175">
        <f>'Kustannusarvio|Rakennusselostus'!D178</f>
        <v>0</v>
      </c>
      <c r="D182" s="190">
        <f>'Kustannusarvio|Rakennusselostus'!E178</f>
        <v>0</v>
      </c>
      <c r="E182" s="190">
        <f>'Kustannusarvio|Rakennusselostus'!F178</f>
        <v>0</v>
      </c>
      <c r="F182" s="190">
        <f>'Kustannusarvio|Rakennusselostus'!G178</f>
        <v>0</v>
      </c>
      <c r="G182" s="191">
        <f t="shared" si="4"/>
        <v>0</v>
      </c>
      <c r="H182" s="190">
        <f>'Kustannusarvio|Rakennusselostus'!I178</f>
        <v>0</v>
      </c>
      <c r="I182" s="190">
        <f>'Kustannusarvio|Rakennusselostus'!J178</f>
        <v>0</v>
      </c>
      <c r="J182" s="190">
        <f>'Kustannusarvio|Rakennusselostus'!K178</f>
        <v>0</v>
      </c>
      <c r="K182" s="191">
        <f t="shared" si="5"/>
        <v>0</v>
      </c>
      <c r="L182" s="11"/>
    </row>
    <row r="183" spans="1:14" ht="15" thickBot="1" x14ac:dyDescent="0.4">
      <c r="A183" s="12"/>
      <c r="B183" s="188" t="str">
        <f>SUBSTITUTE(IF('Kustannusarvio|Rakennusselostus'!C179="",'Kustannusarvio|Rakennusselostus'!B179,'Kustannusarvio|Rakennusselostus'!C179),":","")</f>
        <v>Muu tuote tai palvelu</v>
      </c>
      <c r="C183" s="251">
        <f>'Kustannusarvio|Rakennusselostus'!D179</f>
        <v>0</v>
      </c>
      <c r="D183" s="192">
        <f>'Kustannusarvio|Rakennusselostus'!E179</f>
        <v>0</v>
      </c>
      <c r="E183" s="192">
        <f>'Kustannusarvio|Rakennusselostus'!F179</f>
        <v>0</v>
      </c>
      <c r="F183" s="192">
        <f>'Kustannusarvio|Rakennusselostus'!G179</f>
        <v>0</v>
      </c>
      <c r="G183" s="212">
        <f t="shared" si="4"/>
        <v>0</v>
      </c>
      <c r="H183" s="192">
        <f>'Kustannusarvio|Rakennusselostus'!I179</f>
        <v>0</v>
      </c>
      <c r="I183" s="192">
        <f>'Kustannusarvio|Rakennusselostus'!J179</f>
        <v>0</v>
      </c>
      <c r="J183" s="192">
        <f>'Kustannusarvio|Rakennusselostus'!K179</f>
        <v>0</v>
      </c>
      <c r="K183" s="191">
        <f t="shared" si="5"/>
        <v>0</v>
      </c>
      <c r="L183" s="11"/>
    </row>
    <row r="184" spans="1:14" ht="15" thickTop="1" x14ac:dyDescent="0.35">
      <c r="B184" s="1"/>
      <c r="C184" s="1"/>
      <c r="D184" s="1"/>
      <c r="E184" s="1"/>
      <c r="F184" s="126" t="s">
        <v>263</v>
      </c>
      <c r="G184" s="258">
        <f>SUM(G27:G183)</f>
        <v>0</v>
      </c>
      <c r="H184" s="1"/>
      <c r="I184" s="1"/>
      <c r="J184" s="235" t="s">
        <v>242</v>
      </c>
      <c r="K184" s="213">
        <f>SUM(K13:K183)</f>
        <v>0</v>
      </c>
      <c r="L184" s="11"/>
    </row>
    <row r="185" spans="1:14" x14ac:dyDescent="0.35">
      <c r="B185" s="1"/>
      <c r="C185" s="1"/>
      <c r="D185" s="1"/>
      <c r="E185" s="1"/>
      <c r="F185" s="1"/>
      <c r="G185" s="1"/>
      <c r="H185" s="1"/>
      <c r="I185" s="1"/>
      <c r="J185" s="139" t="s">
        <v>243</v>
      </c>
      <c r="K185" s="124">
        <f>'Kustannusarvio|Rakennusselostus'!P180</f>
        <v>0</v>
      </c>
    </row>
    <row r="186" spans="1:14" x14ac:dyDescent="0.35">
      <c r="B186" s="1"/>
      <c r="J186" s="139"/>
      <c r="K186" s="124"/>
    </row>
    <row r="187" spans="1:14" x14ac:dyDescent="0.35">
      <c r="B187" s="1"/>
      <c r="J187" s="1"/>
      <c r="K187" s="1"/>
    </row>
    <row r="188" spans="1:14" ht="15" thickBot="1" x14ac:dyDescent="0.4">
      <c r="B188" s="33"/>
      <c r="H188" s="284" t="s">
        <v>112</v>
      </c>
    </row>
    <row r="189" spans="1:14" ht="15" thickBot="1" x14ac:dyDescent="0.4">
      <c r="B189" s="8"/>
      <c r="E189" s="1"/>
      <c r="F189" s="1"/>
      <c r="G189" s="1"/>
      <c r="H189" s="210" t="s">
        <v>134</v>
      </c>
      <c r="I189" s="211"/>
      <c r="J189" s="117">
        <f>'Kustannusarvio|Rakennusselostus'!K184</f>
        <v>0.65</v>
      </c>
      <c r="K189" s="18">
        <f>K192*J189</f>
        <v>0</v>
      </c>
    </row>
    <row r="190" spans="1:14" ht="15" thickBot="1" x14ac:dyDescent="0.4">
      <c r="B190" s="8"/>
      <c r="F190" s="1"/>
      <c r="G190" s="1"/>
      <c r="H190" s="210" t="s">
        <v>135</v>
      </c>
      <c r="I190" s="211"/>
      <c r="J190" s="117">
        <f>'Kustannusarvio|Rakennusselostus'!K185</f>
        <v>0</v>
      </c>
      <c r="K190" s="214">
        <f>K192*J190</f>
        <v>0</v>
      </c>
    </row>
    <row r="191" spans="1:14" ht="17" thickBot="1" x14ac:dyDescent="0.4">
      <c r="B191" s="8" t="s">
        <v>29</v>
      </c>
      <c r="F191" s="1"/>
      <c r="G191" s="1"/>
      <c r="H191" s="210" t="s">
        <v>136</v>
      </c>
      <c r="I191" s="211"/>
      <c r="J191" s="117">
        <f>'Kustannusarvio|Rakennusselostus'!K186</f>
        <v>0.35</v>
      </c>
      <c r="K191" s="19">
        <f>K192*J191</f>
        <v>0</v>
      </c>
      <c r="M191" s="16">
        <f>K191</f>
        <v>0</v>
      </c>
      <c r="N191" s="205" t="s">
        <v>255</v>
      </c>
    </row>
    <row r="192" spans="1:14" ht="16.5" x14ac:dyDescent="0.35">
      <c r="B192" s="8" t="s">
        <v>30</v>
      </c>
      <c r="F192" s="1"/>
      <c r="H192" s="1" t="s">
        <v>114</v>
      </c>
      <c r="J192" s="209">
        <f>SUM(J189:J191)</f>
        <v>1</v>
      </c>
      <c r="K192" s="20">
        <f>K184+'Kustannusarvio|Rakennusselostus'!P180</f>
        <v>0</v>
      </c>
      <c r="M192" s="169">
        <f>'Kustannusarvio|Rakennusselostus'!P180</f>
        <v>0</v>
      </c>
      <c r="N192" s="205" t="s">
        <v>256</v>
      </c>
    </row>
    <row r="193" spans="2:14" x14ac:dyDescent="0.35">
      <c r="B193" s="8" t="s">
        <v>31</v>
      </c>
      <c r="F193" s="1"/>
      <c r="I193" s="1"/>
      <c r="J193" s="1"/>
      <c r="K193" s="1"/>
      <c r="M193" s="169">
        <f>M191-M192</f>
        <v>0</v>
      </c>
      <c r="N193" s="206" t="s">
        <v>257</v>
      </c>
    </row>
    <row r="194" spans="2:14" x14ac:dyDescent="0.35">
      <c r="B194" s="8" t="s">
        <v>32</v>
      </c>
      <c r="C194" s="1"/>
      <c r="D194" s="1"/>
      <c r="E194" s="194"/>
      <c r="F194" s="1"/>
      <c r="I194" s="1"/>
      <c r="J194" s="1"/>
      <c r="K194" s="1"/>
    </row>
    <row r="195" spans="2:14" x14ac:dyDescent="0.35">
      <c r="B195" s="8" t="s">
        <v>33</v>
      </c>
      <c r="C195" s="1"/>
      <c r="D195" s="1"/>
      <c r="E195" s="1"/>
      <c r="F195" s="1"/>
      <c r="H195" s="143" t="s">
        <v>133</v>
      </c>
    </row>
    <row r="196" spans="2:14" x14ac:dyDescent="0.35">
      <c r="B196" s="8" t="s">
        <v>34</v>
      </c>
      <c r="F196" s="1"/>
      <c r="G196" s="1"/>
      <c r="H196" s="199" t="s">
        <v>137</v>
      </c>
      <c r="I196" s="195"/>
      <c r="J196" s="138"/>
      <c r="K196" s="125">
        <f>K189</f>
        <v>0</v>
      </c>
      <c r="M196" s="1"/>
    </row>
    <row r="197" spans="2:14" x14ac:dyDescent="0.35">
      <c r="B197" s="8" t="s">
        <v>35</v>
      </c>
      <c r="F197" s="1"/>
      <c r="G197" s="1"/>
      <c r="H197" s="199" t="s">
        <v>138</v>
      </c>
      <c r="I197" s="195"/>
      <c r="J197" s="138"/>
      <c r="K197" s="91">
        <f>K190</f>
        <v>0</v>
      </c>
      <c r="M197" s="1"/>
    </row>
    <row r="198" spans="2:14" x14ac:dyDescent="0.35">
      <c r="B198" s="8" t="s">
        <v>36</v>
      </c>
      <c r="F198" s="1"/>
      <c r="G198" s="1"/>
      <c r="H198" s="199" t="s">
        <v>258</v>
      </c>
      <c r="I198" s="195"/>
      <c r="J198" s="138"/>
      <c r="K198" s="91">
        <f>SUM(K196:K197)</f>
        <v>0</v>
      </c>
      <c r="M198" s="1"/>
    </row>
    <row r="199" spans="2:14" x14ac:dyDescent="0.35">
      <c r="B199" s="8" t="s">
        <v>37</v>
      </c>
      <c r="F199" s="1"/>
      <c r="G199" s="1"/>
      <c r="H199" s="199" t="s">
        <v>139</v>
      </c>
      <c r="I199" s="195"/>
      <c r="J199" s="138"/>
      <c r="K199" s="91">
        <f>M193</f>
        <v>0</v>
      </c>
      <c r="M199" s="1"/>
    </row>
    <row r="200" spans="2:14" x14ac:dyDescent="0.35">
      <c r="B200" s="8"/>
      <c r="F200" s="1"/>
      <c r="G200" s="1"/>
      <c r="H200" s="199" t="s">
        <v>140</v>
      </c>
      <c r="I200" s="195"/>
      <c r="J200" s="138"/>
      <c r="K200" s="169">
        <f>M192</f>
        <v>0</v>
      </c>
      <c r="M200" s="1"/>
    </row>
    <row r="201" spans="2:14" x14ac:dyDescent="0.35">
      <c r="B201" s="36"/>
      <c r="F201" s="1"/>
      <c r="G201" s="1"/>
      <c r="H201" s="199" t="s">
        <v>259</v>
      </c>
      <c r="I201" s="195"/>
      <c r="J201" s="138"/>
      <c r="K201" s="16">
        <f>SUM(K199:K200)</f>
        <v>0</v>
      </c>
      <c r="M201" s="1"/>
    </row>
    <row r="202" spans="2:14" x14ac:dyDescent="0.35">
      <c r="B202" s="8"/>
      <c r="F202" s="1"/>
      <c r="G202" s="1"/>
      <c r="H202" s="199" t="s">
        <v>141</v>
      </c>
      <c r="I202" s="195"/>
      <c r="J202" s="138"/>
      <c r="K202" s="169">
        <f>K196+K197+K199+K200</f>
        <v>0</v>
      </c>
      <c r="M202" s="1"/>
    </row>
    <row r="203" spans="2:14" x14ac:dyDescent="0.35">
      <c r="B203" s="33"/>
      <c r="F203" s="1"/>
      <c r="G203" s="1"/>
      <c r="H203" s="199" t="s">
        <v>260</v>
      </c>
      <c r="I203" s="195"/>
      <c r="J203" s="138"/>
      <c r="K203" s="169">
        <f>'Kustannusarvio|Rakennusselostus'!L198</f>
        <v>0</v>
      </c>
      <c r="M203" s="1"/>
    </row>
    <row r="204" spans="2:14" x14ac:dyDescent="0.35">
      <c r="B204" s="1"/>
      <c r="F204" s="1"/>
      <c r="G204" s="1"/>
      <c r="H204" s="199" t="s">
        <v>142</v>
      </c>
      <c r="I204" s="195"/>
      <c r="J204" s="138"/>
      <c r="K204" s="20">
        <f>K202-K203</f>
        <v>0</v>
      </c>
      <c r="M204" s="1"/>
    </row>
    <row r="205" spans="2:14" x14ac:dyDescent="0.35">
      <c r="F205" s="1"/>
      <c r="G205" s="1"/>
      <c r="H205" s="1"/>
      <c r="I205" s="1"/>
    </row>
    <row r="206" spans="2:14" x14ac:dyDescent="0.35">
      <c r="C206" s="1"/>
      <c r="D206" s="1"/>
      <c r="E206" s="1"/>
      <c r="F206" s="1"/>
      <c r="G206" s="1"/>
      <c r="H206" s="1"/>
      <c r="I206" s="1"/>
    </row>
  </sheetData>
  <sheetProtection algorithmName="SHA-512" hashValue="9qCPCf27b0G26mWv+0oWfTNGdb+Ml0/oyByF9sxTQxFEbxYzIZnk6S1GXuzdPw1Y9m4Bq+7TIOlsiWtXF/MzSQ==" saltValue="Q7wT5hhgDnlq6ISE8cQZWQ==" spinCount="100000" sheet="1" objects="1" scenarios="1" formatCells="0" selectLockedCells="1"/>
  <mergeCells count="7">
    <mergeCell ref="D2:F2"/>
    <mergeCell ref="C10:E10"/>
    <mergeCell ref="D7:F7"/>
    <mergeCell ref="D5:G5"/>
    <mergeCell ref="D3:F3"/>
    <mergeCell ref="D6:F6"/>
    <mergeCell ref="D4:F4"/>
  </mergeCells>
  <conditionalFormatting sqref="C13:C183">
    <cfRule type="cellIs" dxfId="6" priority="3" operator="greaterThan">
      <formula>0</formula>
    </cfRule>
  </conditionalFormatting>
  <conditionalFormatting sqref="G13:G183">
    <cfRule type="cellIs" dxfId="5" priority="2" operator="greaterThan">
      <formula>0</formula>
    </cfRule>
  </conditionalFormatting>
  <conditionalFormatting sqref="K13:K183">
    <cfRule type="cellIs" dxfId="4" priority="1" operator="greaterThan">
      <formula>0</formula>
    </cfRule>
  </conditionalFormatting>
  <conditionalFormatting sqref="K201">
    <cfRule type="cellIs" dxfId="3" priority="4" operator="lessThan">
      <formula>0</formula>
    </cfRule>
  </conditionalFormatting>
  <conditionalFormatting sqref="M192">
    <cfRule type="cellIs" dxfId="2" priority="6" operator="greaterThan">
      <formula>$M$191</formula>
    </cfRule>
  </conditionalFormatting>
  <conditionalFormatting sqref="M193">
    <cfRule type="cellIs" dxfId="1" priority="5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43" orientation="portrait" r:id="rId1"/>
  <rowBreaks count="2" manualBreakCount="2">
    <brk id="94" max="15" man="1"/>
    <brk id="149" max="15" man="1"/>
  </row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4CAD4F-C143-42C3-BE48-55AA1E9A70F8}">
  <sheetPr codeName="Taul4">
    <tabColor rgb="FFFFFF00"/>
    <pageSetUpPr fitToPage="1"/>
  </sheetPr>
  <dimension ref="A1:J180"/>
  <sheetViews>
    <sheetView showGridLines="0" zoomScaleNormal="100" zoomScaleSheetLayoutView="87" workbookViewId="0">
      <selection activeCell="G8" sqref="G8"/>
    </sheetView>
  </sheetViews>
  <sheetFormatPr defaultRowHeight="14.5" x14ac:dyDescent="0.35"/>
  <cols>
    <col min="1" max="1" width="1.1796875" customWidth="1"/>
    <col min="2" max="2" width="53.7265625" customWidth="1"/>
    <col min="3" max="4" width="9.1796875" customWidth="1"/>
    <col min="5" max="5" width="11.81640625" customWidth="1"/>
    <col min="6" max="6" width="5.54296875" customWidth="1"/>
    <col min="7" max="7" width="65.54296875" customWidth="1"/>
    <col min="8" max="8" width="1.1796875" customWidth="1"/>
  </cols>
  <sheetData>
    <row r="1" spans="1:10" ht="14.5" customHeight="1" x14ac:dyDescent="0.35">
      <c r="A1" s="28"/>
      <c r="B1" s="130" t="s">
        <v>125</v>
      </c>
      <c r="C1" s="334">
        <f>'Hankkeen tiedot'!D13</f>
        <v>0</v>
      </c>
      <c r="D1" s="334"/>
      <c r="E1" s="334"/>
      <c r="F1" s="334"/>
      <c r="G1" s="334"/>
      <c r="H1" s="11"/>
    </row>
    <row r="2" spans="1:10" ht="14.5" customHeight="1" x14ac:dyDescent="0.35">
      <c r="A2" s="29"/>
      <c r="B2" s="130" t="s">
        <v>126</v>
      </c>
      <c r="C2" s="334">
        <f>'Hankkeen tiedot'!D14</f>
        <v>0</v>
      </c>
      <c r="D2" s="334"/>
      <c r="E2" s="334"/>
      <c r="F2" s="334"/>
      <c r="G2" s="334"/>
      <c r="H2" s="11"/>
    </row>
    <row r="3" spans="1:10" ht="14.5" customHeight="1" x14ac:dyDescent="0.35">
      <c r="A3" s="29"/>
      <c r="B3" s="130" t="s">
        <v>128</v>
      </c>
      <c r="C3" s="334">
        <f>'Hankkeen tiedot'!D15</f>
        <v>0</v>
      </c>
      <c r="D3" s="334"/>
      <c r="E3" s="334"/>
      <c r="F3" s="334"/>
      <c r="G3" s="334"/>
      <c r="H3" s="11"/>
    </row>
    <row r="4" spans="1:10" ht="14.5" customHeight="1" x14ac:dyDescent="0.35">
      <c r="A4" s="29"/>
      <c r="B4" s="130" t="s">
        <v>127</v>
      </c>
      <c r="C4" s="334">
        <f>'Hankkeen tiedot'!D16</f>
        <v>0</v>
      </c>
      <c r="D4" s="334"/>
      <c r="E4" s="334"/>
      <c r="F4" s="334"/>
      <c r="G4" s="334"/>
      <c r="H4" s="11"/>
    </row>
    <row r="5" spans="1:10" ht="28.5" customHeight="1" x14ac:dyDescent="0.35">
      <c r="A5" s="29"/>
      <c r="B5" s="335" t="s">
        <v>129</v>
      </c>
      <c r="C5" s="335"/>
      <c r="D5" s="335"/>
      <c r="E5" s="335"/>
      <c r="F5" s="335"/>
      <c r="G5" s="335"/>
      <c r="H5" s="11"/>
    </row>
    <row r="6" spans="1:10" ht="48" x14ac:dyDescent="0.35">
      <c r="A6" s="83"/>
      <c r="B6" s="303" t="s">
        <v>130</v>
      </c>
      <c r="C6" s="134" t="s">
        <v>249</v>
      </c>
      <c r="D6" s="134" t="s">
        <v>15</v>
      </c>
      <c r="E6" s="133" t="s">
        <v>16</v>
      </c>
      <c r="F6" s="84" t="s">
        <v>244</v>
      </c>
      <c r="G6" s="85" t="s">
        <v>147</v>
      </c>
      <c r="H6" s="11"/>
    </row>
    <row r="7" spans="1:10" x14ac:dyDescent="0.35">
      <c r="A7" s="44" t="s">
        <v>163</v>
      </c>
      <c r="B7" s="304"/>
      <c r="C7" s="86"/>
      <c r="D7" s="86"/>
      <c r="E7" s="87"/>
      <c r="F7" s="87"/>
      <c r="G7" s="292"/>
      <c r="H7" s="11"/>
    </row>
    <row r="8" spans="1:10" x14ac:dyDescent="0.35">
      <c r="A8" s="12"/>
      <c r="B8" s="170" t="s">
        <v>164</v>
      </c>
      <c r="C8" s="215">
        <f>'Kustannusarvio|Rakennusselostus'!N8</f>
        <v>0</v>
      </c>
      <c r="D8" s="215">
        <f>'Kustannusarvio|Rakennusselostus'!O8</f>
        <v>0</v>
      </c>
      <c r="E8" s="219">
        <f>C8*20+D8*60</f>
        <v>0</v>
      </c>
      <c r="F8" s="216">
        <f>'Kustannusarvio|Rakennusselostus'!Q8</f>
        <v>0</v>
      </c>
      <c r="G8" s="217">
        <f>'Kustannusarvio|Rakennusselostus'!R8</f>
        <v>0</v>
      </c>
      <c r="H8" s="11"/>
      <c r="J8" s="88"/>
    </row>
    <row r="9" spans="1:10" x14ac:dyDescent="0.35">
      <c r="A9" s="12"/>
      <c r="B9" s="174" t="s">
        <v>165</v>
      </c>
      <c r="C9" s="218">
        <f>'Kustannusarvio|Rakennusselostus'!N9</f>
        <v>0</v>
      </c>
      <c r="D9" s="218">
        <f>'Kustannusarvio|Rakennusselostus'!O9</f>
        <v>0</v>
      </c>
      <c r="E9" s="219">
        <f t="shared" ref="E9:E19" si="0">C9*20+D9*60</f>
        <v>0</v>
      </c>
      <c r="F9" s="220">
        <f>'Kustannusarvio|Rakennusselostus'!Q9</f>
        <v>0</v>
      </c>
      <c r="G9" s="221">
        <f>'Kustannusarvio|Rakennusselostus'!R9</f>
        <v>0</v>
      </c>
      <c r="H9" s="92"/>
    </row>
    <row r="10" spans="1:10" x14ac:dyDescent="0.35">
      <c r="A10" s="12"/>
      <c r="B10" s="174" t="s">
        <v>166</v>
      </c>
      <c r="C10" s="218">
        <f>'Kustannusarvio|Rakennusselostus'!N10</f>
        <v>0</v>
      </c>
      <c r="D10" s="218">
        <f>'Kustannusarvio|Rakennusselostus'!O10</f>
        <v>0</v>
      </c>
      <c r="E10" s="219">
        <f t="shared" si="0"/>
        <v>0</v>
      </c>
      <c r="F10" s="220">
        <f>'Kustannusarvio|Rakennusselostus'!Q10</f>
        <v>0</v>
      </c>
      <c r="G10" s="221">
        <f>'Kustannusarvio|Rakennusselostus'!R10</f>
        <v>0</v>
      </c>
      <c r="H10" s="11"/>
    </row>
    <row r="11" spans="1:10" x14ac:dyDescent="0.35">
      <c r="A11" s="12"/>
      <c r="B11" s="174" t="s">
        <v>247</v>
      </c>
      <c r="C11" s="218">
        <f>'Kustannusarvio|Rakennusselostus'!N11</f>
        <v>0</v>
      </c>
      <c r="D11" s="218">
        <f>'Kustannusarvio|Rakennusselostus'!O11</f>
        <v>0</v>
      </c>
      <c r="E11" s="219">
        <f t="shared" si="0"/>
        <v>0</v>
      </c>
      <c r="F11" s="220">
        <f>'Kustannusarvio|Rakennusselostus'!Q11</f>
        <v>0</v>
      </c>
      <c r="G11" s="221">
        <f>'Kustannusarvio|Rakennusselostus'!R11</f>
        <v>0</v>
      </c>
      <c r="H11" s="11"/>
    </row>
    <row r="12" spans="1:10" x14ac:dyDescent="0.35">
      <c r="A12" s="12"/>
      <c r="B12" s="174" t="s">
        <v>167</v>
      </c>
      <c r="C12" s="218">
        <f>'Kustannusarvio|Rakennusselostus'!N12</f>
        <v>0</v>
      </c>
      <c r="D12" s="218">
        <f>'Kustannusarvio|Rakennusselostus'!O12</f>
        <v>0</v>
      </c>
      <c r="E12" s="219">
        <f t="shared" si="0"/>
        <v>0</v>
      </c>
      <c r="F12" s="220">
        <f>'Kustannusarvio|Rakennusselostus'!Q12</f>
        <v>0</v>
      </c>
      <c r="G12" s="221">
        <f>'Kustannusarvio|Rakennusselostus'!R12</f>
        <v>0</v>
      </c>
      <c r="H12" s="11"/>
    </row>
    <row r="13" spans="1:10" x14ac:dyDescent="0.35">
      <c r="A13" s="12"/>
      <c r="B13" s="174" t="s">
        <v>26</v>
      </c>
      <c r="C13" s="218">
        <f>'Kustannusarvio|Rakennusselostus'!N13</f>
        <v>0</v>
      </c>
      <c r="D13" s="218">
        <f>'Kustannusarvio|Rakennusselostus'!O13</f>
        <v>0</v>
      </c>
      <c r="E13" s="219">
        <f t="shared" si="0"/>
        <v>0</v>
      </c>
      <c r="F13" s="220">
        <f>'Kustannusarvio|Rakennusselostus'!Q13</f>
        <v>0</v>
      </c>
      <c r="G13" s="221">
        <f>'Kustannusarvio|Rakennusselostus'!R13</f>
        <v>0</v>
      </c>
      <c r="H13" s="11"/>
    </row>
    <row r="14" spans="1:10" x14ac:dyDescent="0.35">
      <c r="A14" s="12"/>
      <c r="B14" s="174" t="s">
        <v>27</v>
      </c>
      <c r="C14" s="218">
        <f>'Kustannusarvio|Rakennusselostus'!N14</f>
        <v>0</v>
      </c>
      <c r="D14" s="218">
        <f>'Kustannusarvio|Rakennusselostus'!O14</f>
        <v>0</v>
      </c>
      <c r="E14" s="219">
        <f t="shared" si="0"/>
        <v>0</v>
      </c>
      <c r="F14" s="220">
        <f>'Kustannusarvio|Rakennusselostus'!Q14</f>
        <v>0</v>
      </c>
      <c r="G14" s="221">
        <f>'Kustannusarvio|Rakennusselostus'!R14</f>
        <v>0</v>
      </c>
      <c r="H14" s="11"/>
    </row>
    <row r="15" spans="1:10" x14ac:dyDescent="0.35">
      <c r="A15" s="12"/>
      <c r="B15" s="174" t="s">
        <v>28</v>
      </c>
      <c r="C15" s="218">
        <f>'Kustannusarvio|Rakennusselostus'!N15</f>
        <v>0</v>
      </c>
      <c r="D15" s="218">
        <f>'Kustannusarvio|Rakennusselostus'!O15</f>
        <v>0</v>
      </c>
      <c r="E15" s="219">
        <f t="shared" si="0"/>
        <v>0</v>
      </c>
      <c r="F15" s="220">
        <f>'Kustannusarvio|Rakennusselostus'!Q15</f>
        <v>0</v>
      </c>
      <c r="G15" s="221">
        <f>'Kustannusarvio|Rakennusselostus'!R15</f>
        <v>0</v>
      </c>
      <c r="H15" s="11"/>
    </row>
    <row r="16" spans="1:10" x14ac:dyDescent="0.35">
      <c r="A16" s="12"/>
      <c r="B16" s="174" t="s">
        <v>169</v>
      </c>
      <c r="C16" s="218">
        <f>'Kustannusarvio|Rakennusselostus'!N16</f>
        <v>0</v>
      </c>
      <c r="D16" s="218">
        <f>'Kustannusarvio|Rakennusselostus'!O16</f>
        <v>0</v>
      </c>
      <c r="E16" s="219">
        <f t="shared" si="0"/>
        <v>0</v>
      </c>
      <c r="F16" s="220">
        <f>'Kustannusarvio|Rakennusselostus'!Q16</f>
        <v>0</v>
      </c>
      <c r="G16" s="221">
        <f>'Kustannusarvio|Rakennusselostus'!R16</f>
        <v>0</v>
      </c>
      <c r="H16" s="11"/>
    </row>
    <row r="17" spans="1:8" x14ac:dyDescent="0.35">
      <c r="A17" s="12"/>
      <c r="B17" s="174" t="s">
        <v>245</v>
      </c>
      <c r="C17" s="218">
        <f>'Kustannusarvio|Rakennusselostus'!N17</f>
        <v>0</v>
      </c>
      <c r="D17" s="218">
        <f>'Kustannusarvio|Rakennusselostus'!O17</f>
        <v>0</v>
      </c>
      <c r="E17" s="219">
        <f t="shared" si="0"/>
        <v>0</v>
      </c>
      <c r="F17" s="220">
        <f>'Kustannusarvio|Rakennusselostus'!Q17</f>
        <v>0</v>
      </c>
      <c r="G17" s="221">
        <f>'Kustannusarvio|Rakennusselostus'!R17</f>
        <v>0</v>
      </c>
      <c r="H17" s="11"/>
    </row>
    <row r="18" spans="1:8" x14ac:dyDescent="0.35">
      <c r="A18" s="12"/>
      <c r="B18" s="188" t="str">
        <f>SUBSTITUTE(IF('Kustannusarvio|Rakennusselostus'!C18="",'Kustannusarvio|Rakennusselostus'!B18,'Kustannusarvio|Rakennusselostus'!C18),":","")</f>
        <v>Muu maksu</v>
      </c>
      <c r="C18" s="218">
        <f>'Kustannusarvio|Rakennusselostus'!N18</f>
        <v>0</v>
      </c>
      <c r="D18" s="218">
        <f>'Kustannusarvio|Rakennusselostus'!O18</f>
        <v>0</v>
      </c>
      <c r="E18" s="219">
        <f t="shared" si="0"/>
        <v>0</v>
      </c>
      <c r="F18" s="220">
        <f>'Kustannusarvio|Rakennusselostus'!Q18</f>
        <v>0</v>
      </c>
      <c r="G18" s="221">
        <f>'Kustannusarvio|Rakennusselostus'!R18</f>
        <v>0</v>
      </c>
      <c r="H18" s="11"/>
    </row>
    <row r="19" spans="1:8" x14ac:dyDescent="0.35">
      <c r="A19" s="12"/>
      <c r="B19" s="188" t="str">
        <f>SUBSTITUTE(IF('Kustannusarvio|Rakennusselostus'!C19="",'Kustannusarvio|Rakennusselostus'!B19,'Kustannusarvio|Rakennusselostus'!C19),":","")</f>
        <v>Muu maksu</v>
      </c>
      <c r="C19" s="260">
        <f>'Kustannusarvio|Rakennusselostus'!N19</f>
        <v>0</v>
      </c>
      <c r="D19" s="260">
        <f>'Kustannusarvio|Rakennusselostus'!O19</f>
        <v>0</v>
      </c>
      <c r="E19" s="261">
        <f t="shared" si="0"/>
        <v>0</v>
      </c>
      <c r="F19" s="262">
        <f>'Kustannusarvio|Rakennusselostus'!Q19</f>
        <v>0</v>
      </c>
      <c r="G19" s="223">
        <f>'Kustannusarvio|Rakennusselostus'!R19</f>
        <v>0</v>
      </c>
      <c r="H19" s="11"/>
    </row>
    <row r="20" spans="1:8" x14ac:dyDescent="0.35">
      <c r="A20" s="44" t="s">
        <v>168</v>
      </c>
      <c r="B20" s="304"/>
      <c r="C20" s="86"/>
      <c r="D20" s="265"/>
      <c r="E20" s="266"/>
      <c r="F20" s="87"/>
      <c r="G20" s="259"/>
      <c r="H20" s="11"/>
    </row>
    <row r="21" spans="1:8" x14ac:dyDescent="0.35">
      <c r="A21" s="10" t="s">
        <v>200</v>
      </c>
      <c r="B21" s="27"/>
      <c r="C21" s="30"/>
      <c r="D21" s="30"/>
      <c r="E21" s="27"/>
      <c r="F21" s="293"/>
      <c r="G21" s="264"/>
      <c r="H21" s="11"/>
    </row>
    <row r="22" spans="1:8" x14ac:dyDescent="0.35">
      <c r="A22" s="12"/>
      <c r="B22" s="174" t="s">
        <v>201</v>
      </c>
      <c r="C22" s="267">
        <f>'Kustannusarvio|Rakennusselostus'!N22</f>
        <v>0</v>
      </c>
      <c r="D22" s="267">
        <f>'Kustannusarvio|Rakennusselostus'!O22</f>
        <v>0</v>
      </c>
      <c r="E22" s="263">
        <f t="shared" ref="E22:E80" si="1">C22*20+D22*60</f>
        <v>0</v>
      </c>
      <c r="F22" s="268">
        <f>'Kustannusarvio|Rakennusselostus'!Q22</f>
        <v>0</v>
      </c>
      <c r="G22" s="221">
        <f>'Kustannusarvio|Rakennusselostus'!R22</f>
        <v>0</v>
      </c>
      <c r="H22" s="11"/>
    </row>
    <row r="23" spans="1:8" x14ac:dyDescent="0.35">
      <c r="A23" s="12"/>
      <c r="B23" s="174" t="s">
        <v>202</v>
      </c>
      <c r="C23" s="218">
        <f>'Kustannusarvio|Rakennusselostus'!N23</f>
        <v>0</v>
      </c>
      <c r="D23" s="218">
        <f>'Kustannusarvio|Rakennusselostus'!O23</f>
        <v>0</v>
      </c>
      <c r="E23" s="219">
        <f t="shared" si="1"/>
        <v>0</v>
      </c>
      <c r="F23" s="220">
        <f>'Kustannusarvio|Rakennusselostus'!Q23</f>
        <v>0</v>
      </c>
      <c r="G23" s="221">
        <f>'Kustannusarvio|Rakennusselostus'!R23</f>
        <v>0</v>
      </c>
      <c r="H23" s="11"/>
    </row>
    <row r="24" spans="1:8" x14ac:dyDescent="0.35">
      <c r="A24" s="12"/>
      <c r="B24" s="174" t="s">
        <v>203</v>
      </c>
      <c r="C24" s="218">
        <f>'Kustannusarvio|Rakennusselostus'!N24</f>
        <v>0</v>
      </c>
      <c r="D24" s="218">
        <f>'Kustannusarvio|Rakennusselostus'!O24</f>
        <v>0</v>
      </c>
      <c r="E24" s="219">
        <f t="shared" si="1"/>
        <v>0</v>
      </c>
      <c r="F24" s="220">
        <f>'Kustannusarvio|Rakennusselostus'!Q24</f>
        <v>0</v>
      </c>
      <c r="G24" s="221">
        <f>'Kustannusarvio|Rakennusselostus'!R24</f>
        <v>0</v>
      </c>
      <c r="H24" s="11"/>
    </row>
    <row r="25" spans="1:8" x14ac:dyDescent="0.35">
      <c r="A25" s="12"/>
      <c r="B25" s="174" t="s">
        <v>204</v>
      </c>
      <c r="C25" s="218">
        <f>'Kustannusarvio|Rakennusselostus'!N25</f>
        <v>0</v>
      </c>
      <c r="D25" s="218">
        <f>'Kustannusarvio|Rakennusselostus'!O25</f>
        <v>0</v>
      </c>
      <c r="E25" s="219">
        <f t="shared" si="1"/>
        <v>0</v>
      </c>
      <c r="F25" s="220">
        <f>'Kustannusarvio|Rakennusselostus'!Q25</f>
        <v>0</v>
      </c>
      <c r="G25" s="221">
        <f>'Kustannusarvio|Rakennusselostus'!R25</f>
        <v>0</v>
      </c>
      <c r="H25" s="11"/>
    </row>
    <row r="26" spans="1:8" x14ac:dyDescent="0.35">
      <c r="A26" s="12"/>
      <c r="B26" s="174" t="s">
        <v>205</v>
      </c>
      <c r="C26" s="218">
        <f>'Kustannusarvio|Rakennusselostus'!N26</f>
        <v>0</v>
      </c>
      <c r="D26" s="218">
        <f>'Kustannusarvio|Rakennusselostus'!O26</f>
        <v>0</v>
      </c>
      <c r="E26" s="219">
        <f t="shared" si="1"/>
        <v>0</v>
      </c>
      <c r="F26" s="220">
        <f>'Kustannusarvio|Rakennusselostus'!Q26</f>
        <v>0</v>
      </c>
      <c r="G26" s="221">
        <f>'Kustannusarvio|Rakennusselostus'!R26</f>
        <v>0</v>
      </c>
      <c r="H26" s="11"/>
    </row>
    <row r="27" spans="1:8" x14ac:dyDescent="0.35">
      <c r="A27" s="12"/>
      <c r="B27" s="174" t="s">
        <v>206</v>
      </c>
      <c r="C27" s="218">
        <f>'Kustannusarvio|Rakennusselostus'!N27</f>
        <v>0</v>
      </c>
      <c r="D27" s="218">
        <f>'Kustannusarvio|Rakennusselostus'!O27</f>
        <v>0</v>
      </c>
      <c r="E27" s="219">
        <f t="shared" si="1"/>
        <v>0</v>
      </c>
      <c r="F27" s="220">
        <f>'Kustannusarvio|Rakennusselostus'!Q27</f>
        <v>0</v>
      </c>
      <c r="G27" s="221">
        <f>'Kustannusarvio|Rakennusselostus'!R27</f>
        <v>0</v>
      </c>
      <c r="H27" s="11"/>
    </row>
    <row r="28" spans="1:8" x14ac:dyDescent="0.35">
      <c r="A28" s="12"/>
      <c r="B28" s="174" t="s">
        <v>207</v>
      </c>
      <c r="C28" s="218">
        <f>'Kustannusarvio|Rakennusselostus'!N28</f>
        <v>0</v>
      </c>
      <c r="D28" s="218">
        <f>'Kustannusarvio|Rakennusselostus'!O28</f>
        <v>0</v>
      </c>
      <c r="E28" s="219">
        <f t="shared" si="1"/>
        <v>0</v>
      </c>
      <c r="F28" s="220">
        <f>'Kustannusarvio|Rakennusselostus'!Q28</f>
        <v>0</v>
      </c>
      <c r="G28" s="221">
        <f>'Kustannusarvio|Rakennusselostus'!R28</f>
        <v>0</v>
      </c>
      <c r="H28" s="11"/>
    </row>
    <row r="29" spans="1:8" x14ac:dyDescent="0.35">
      <c r="A29" s="12"/>
      <c r="B29" s="174" t="s">
        <v>208</v>
      </c>
      <c r="C29" s="218">
        <f>'Kustannusarvio|Rakennusselostus'!N29</f>
        <v>0</v>
      </c>
      <c r="D29" s="218">
        <f>'Kustannusarvio|Rakennusselostus'!O29</f>
        <v>0</v>
      </c>
      <c r="E29" s="219">
        <f t="shared" si="1"/>
        <v>0</v>
      </c>
      <c r="F29" s="220">
        <f>'Kustannusarvio|Rakennusselostus'!Q29</f>
        <v>0</v>
      </c>
      <c r="G29" s="221">
        <f>'Kustannusarvio|Rakennusselostus'!R29</f>
        <v>0</v>
      </c>
      <c r="H29" s="11"/>
    </row>
    <row r="30" spans="1:8" x14ac:dyDescent="0.35">
      <c r="A30" s="12"/>
      <c r="B30" s="174" t="s">
        <v>209</v>
      </c>
      <c r="C30" s="218">
        <f>'Kustannusarvio|Rakennusselostus'!N30</f>
        <v>0</v>
      </c>
      <c r="D30" s="218">
        <f>'Kustannusarvio|Rakennusselostus'!O30</f>
        <v>0</v>
      </c>
      <c r="E30" s="219">
        <f t="shared" si="1"/>
        <v>0</v>
      </c>
      <c r="F30" s="220">
        <f>'Kustannusarvio|Rakennusselostus'!Q30</f>
        <v>0</v>
      </c>
      <c r="G30" s="221">
        <f>'Kustannusarvio|Rakennusselostus'!R30</f>
        <v>0</v>
      </c>
      <c r="H30" s="11"/>
    </row>
    <row r="31" spans="1:8" x14ac:dyDescent="0.35">
      <c r="A31" s="12"/>
      <c r="B31" s="174" t="s">
        <v>210</v>
      </c>
      <c r="C31" s="218">
        <f>'Kustannusarvio|Rakennusselostus'!N31</f>
        <v>0</v>
      </c>
      <c r="D31" s="218">
        <f>'Kustannusarvio|Rakennusselostus'!O31</f>
        <v>0</v>
      </c>
      <c r="E31" s="219">
        <f t="shared" si="1"/>
        <v>0</v>
      </c>
      <c r="F31" s="220">
        <f>'Kustannusarvio|Rakennusselostus'!Q31</f>
        <v>0</v>
      </c>
      <c r="G31" s="221">
        <f>'Kustannusarvio|Rakennusselostus'!R31</f>
        <v>0</v>
      </c>
      <c r="H31" s="11"/>
    </row>
    <row r="32" spans="1:8" x14ac:dyDescent="0.35">
      <c r="A32" s="12"/>
      <c r="B32" s="174" t="s">
        <v>211</v>
      </c>
      <c r="C32" s="218">
        <f>'Kustannusarvio|Rakennusselostus'!N32</f>
        <v>0</v>
      </c>
      <c r="D32" s="218">
        <f>'Kustannusarvio|Rakennusselostus'!O32</f>
        <v>0</v>
      </c>
      <c r="E32" s="219">
        <f t="shared" si="1"/>
        <v>0</v>
      </c>
      <c r="F32" s="220">
        <f>'Kustannusarvio|Rakennusselostus'!Q32</f>
        <v>0</v>
      </c>
      <c r="G32" s="221">
        <f>'Kustannusarvio|Rakennusselostus'!R32</f>
        <v>0</v>
      </c>
      <c r="H32" s="11"/>
    </row>
    <row r="33" spans="1:8" x14ac:dyDescent="0.35">
      <c r="A33" s="12"/>
      <c r="B33" s="174" t="s">
        <v>212</v>
      </c>
      <c r="C33" s="218">
        <f>'Kustannusarvio|Rakennusselostus'!N33</f>
        <v>0</v>
      </c>
      <c r="D33" s="218">
        <f>'Kustannusarvio|Rakennusselostus'!O33</f>
        <v>0</v>
      </c>
      <c r="E33" s="219">
        <f t="shared" si="1"/>
        <v>0</v>
      </c>
      <c r="F33" s="220">
        <f>'Kustannusarvio|Rakennusselostus'!Q33</f>
        <v>0</v>
      </c>
      <c r="G33" s="221">
        <f>'Kustannusarvio|Rakennusselostus'!R33</f>
        <v>0</v>
      </c>
      <c r="H33" s="11"/>
    </row>
    <row r="34" spans="1:8" x14ac:dyDescent="0.35">
      <c r="A34" s="12"/>
      <c r="B34" s="174" t="s">
        <v>213</v>
      </c>
      <c r="C34" s="218">
        <f>'Kustannusarvio|Rakennusselostus'!N34</f>
        <v>0</v>
      </c>
      <c r="D34" s="218">
        <f>'Kustannusarvio|Rakennusselostus'!O34</f>
        <v>0</v>
      </c>
      <c r="E34" s="219">
        <f t="shared" si="1"/>
        <v>0</v>
      </c>
      <c r="F34" s="220">
        <f>'Kustannusarvio|Rakennusselostus'!Q34</f>
        <v>0</v>
      </c>
      <c r="G34" s="221">
        <f>'Kustannusarvio|Rakennusselostus'!R34</f>
        <v>0</v>
      </c>
      <c r="H34" s="11"/>
    </row>
    <row r="35" spans="1:8" x14ac:dyDescent="0.35">
      <c r="A35" s="12"/>
      <c r="B35" s="174" t="s">
        <v>214</v>
      </c>
      <c r="C35" s="218">
        <f>'Kustannusarvio|Rakennusselostus'!N35</f>
        <v>0</v>
      </c>
      <c r="D35" s="218">
        <f>'Kustannusarvio|Rakennusselostus'!O35</f>
        <v>0</v>
      </c>
      <c r="E35" s="219">
        <f t="shared" si="1"/>
        <v>0</v>
      </c>
      <c r="F35" s="220">
        <f>'Kustannusarvio|Rakennusselostus'!Q35</f>
        <v>0</v>
      </c>
      <c r="G35" s="221">
        <f>'Kustannusarvio|Rakennusselostus'!R35</f>
        <v>0</v>
      </c>
      <c r="H35" s="11"/>
    </row>
    <row r="36" spans="1:8" x14ac:dyDescent="0.35">
      <c r="A36" s="12"/>
      <c r="B36" s="174" t="s">
        <v>215</v>
      </c>
      <c r="C36" s="218">
        <f>'Kustannusarvio|Rakennusselostus'!N36</f>
        <v>0</v>
      </c>
      <c r="D36" s="218">
        <f>'Kustannusarvio|Rakennusselostus'!O36</f>
        <v>0</v>
      </c>
      <c r="E36" s="219">
        <f t="shared" si="1"/>
        <v>0</v>
      </c>
      <c r="F36" s="220">
        <f>'Kustannusarvio|Rakennusselostus'!Q36</f>
        <v>0</v>
      </c>
      <c r="G36" s="221">
        <f>'Kustannusarvio|Rakennusselostus'!R36</f>
        <v>0</v>
      </c>
      <c r="H36" s="11"/>
    </row>
    <row r="37" spans="1:8" x14ac:dyDescent="0.35">
      <c r="A37" s="12"/>
      <c r="B37" s="174" t="s">
        <v>216</v>
      </c>
      <c r="C37" s="218">
        <f>'Kustannusarvio|Rakennusselostus'!N37</f>
        <v>0</v>
      </c>
      <c r="D37" s="218">
        <f>'Kustannusarvio|Rakennusselostus'!O37</f>
        <v>0</v>
      </c>
      <c r="E37" s="219">
        <f t="shared" si="1"/>
        <v>0</v>
      </c>
      <c r="F37" s="220">
        <f>'Kustannusarvio|Rakennusselostus'!Q37</f>
        <v>0</v>
      </c>
      <c r="G37" s="221">
        <f>'Kustannusarvio|Rakennusselostus'!R37</f>
        <v>0</v>
      </c>
      <c r="H37" s="11"/>
    </row>
    <row r="38" spans="1:8" x14ac:dyDescent="0.35">
      <c r="A38" s="12"/>
      <c r="B38" s="188" t="str">
        <f>SUBSTITUTE(IF('Kustannusarvio|Rakennusselostus'!C38="",'Kustannusarvio|Rakennusselostus'!B38,'Kustannusarvio|Rakennusselostus'!C38),":","")</f>
        <v>Muu rakennusosa</v>
      </c>
      <c r="C38" s="218">
        <f>'Kustannusarvio|Rakennusselostus'!N38</f>
        <v>0</v>
      </c>
      <c r="D38" s="218">
        <f>'Kustannusarvio|Rakennusselostus'!O38</f>
        <v>0</v>
      </c>
      <c r="E38" s="219">
        <f t="shared" si="1"/>
        <v>0</v>
      </c>
      <c r="F38" s="220">
        <f>'Kustannusarvio|Rakennusselostus'!Q38</f>
        <v>0</v>
      </c>
      <c r="G38" s="221">
        <f>'Kustannusarvio|Rakennusselostus'!R38</f>
        <v>0</v>
      </c>
      <c r="H38" s="11"/>
    </row>
    <row r="39" spans="1:8" x14ac:dyDescent="0.35">
      <c r="A39" s="12"/>
      <c r="B39" s="188" t="str">
        <f>SUBSTITUTE(IF('Kustannusarvio|Rakennusselostus'!C39="",'Kustannusarvio|Rakennusselostus'!B39,'Kustannusarvio|Rakennusselostus'!C39),":","")</f>
        <v>Muu rakennusosa</v>
      </c>
      <c r="C39" s="218">
        <f>'Kustannusarvio|Rakennusselostus'!N39</f>
        <v>0</v>
      </c>
      <c r="D39" s="218">
        <f>'Kustannusarvio|Rakennusselostus'!O39</f>
        <v>0</v>
      </c>
      <c r="E39" s="219">
        <f t="shared" si="1"/>
        <v>0</v>
      </c>
      <c r="F39" s="220">
        <f>'Kustannusarvio|Rakennusselostus'!Q39</f>
        <v>0</v>
      </c>
      <c r="G39" s="221">
        <f>'Kustannusarvio|Rakennusselostus'!R39</f>
        <v>0</v>
      </c>
      <c r="H39" s="11"/>
    </row>
    <row r="40" spans="1:8" x14ac:dyDescent="0.35">
      <c r="A40" s="12"/>
      <c r="B40" s="188" t="str">
        <f>SUBSTITUTE(IF('Kustannusarvio|Rakennusselostus'!C40="",'Kustannusarvio|Rakennusselostus'!B40,'Kustannusarvio|Rakennusselostus'!C40),":","")</f>
        <v>Muu rakennusosa</v>
      </c>
      <c r="C40" s="218">
        <f>'Kustannusarvio|Rakennusselostus'!N40</f>
        <v>0</v>
      </c>
      <c r="D40" s="218">
        <f>'Kustannusarvio|Rakennusselostus'!O40</f>
        <v>0</v>
      </c>
      <c r="E40" s="219">
        <f t="shared" si="1"/>
        <v>0</v>
      </c>
      <c r="F40" s="220">
        <f>'Kustannusarvio|Rakennusselostus'!Q40</f>
        <v>0</v>
      </c>
      <c r="G40" s="221">
        <f>'Kustannusarvio|Rakennusselostus'!R40</f>
        <v>0</v>
      </c>
      <c r="H40" s="11"/>
    </row>
    <row r="41" spans="1:8" x14ac:dyDescent="0.35">
      <c r="A41" s="44" t="s">
        <v>198</v>
      </c>
      <c r="B41" s="304"/>
      <c r="C41" s="86"/>
      <c r="D41" s="265"/>
      <c r="E41" s="266"/>
      <c r="F41" s="87"/>
      <c r="G41" s="259"/>
      <c r="H41" s="11"/>
    </row>
    <row r="42" spans="1:8" x14ac:dyDescent="0.35">
      <c r="A42" s="10" t="s">
        <v>40</v>
      </c>
      <c r="B42" s="27"/>
      <c r="C42" s="30"/>
      <c r="D42" s="30"/>
      <c r="E42" s="27"/>
      <c r="F42" s="293"/>
      <c r="G42" s="264"/>
      <c r="H42" s="11"/>
    </row>
    <row r="43" spans="1:8" x14ac:dyDescent="0.35">
      <c r="A43" s="12"/>
      <c r="B43" s="174" t="s">
        <v>41</v>
      </c>
      <c r="C43" s="218">
        <f>'Kustannusarvio|Rakennusselostus'!N43</f>
        <v>0</v>
      </c>
      <c r="D43" s="218">
        <f>'Kustannusarvio|Rakennusselostus'!O43</f>
        <v>0</v>
      </c>
      <c r="E43" s="219">
        <f t="shared" si="1"/>
        <v>0</v>
      </c>
      <c r="F43" s="220">
        <f>'Kustannusarvio|Rakennusselostus'!Q43</f>
        <v>0</v>
      </c>
      <c r="G43" s="221">
        <f>'Kustannusarvio|Rakennusselostus'!R43</f>
        <v>0</v>
      </c>
      <c r="H43" s="11"/>
    </row>
    <row r="44" spans="1:8" x14ac:dyDescent="0.35">
      <c r="A44" s="12"/>
      <c r="B44" s="174" t="s">
        <v>43</v>
      </c>
      <c r="C44" s="218">
        <f>'Kustannusarvio|Rakennusselostus'!N44</f>
        <v>0</v>
      </c>
      <c r="D44" s="218">
        <f>'Kustannusarvio|Rakennusselostus'!O44</f>
        <v>0</v>
      </c>
      <c r="E44" s="219">
        <f t="shared" si="1"/>
        <v>0</v>
      </c>
      <c r="F44" s="220">
        <f>'Kustannusarvio|Rakennusselostus'!Q44</f>
        <v>0</v>
      </c>
      <c r="G44" s="221">
        <f>'Kustannusarvio|Rakennusselostus'!R44</f>
        <v>0</v>
      </c>
      <c r="H44" s="11"/>
    </row>
    <row r="45" spans="1:8" x14ac:dyDescent="0.35">
      <c r="A45" s="12"/>
      <c r="B45" s="174" t="s">
        <v>42</v>
      </c>
      <c r="C45" s="218">
        <f>'Kustannusarvio|Rakennusselostus'!N45</f>
        <v>0</v>
      </c>
      <c r="D45" s="218">
        <f>'Kustannusarvio|Rakennusselostus'!O45</f>
        <v>0</v>
      </c>
      <c r="E45" s="219">
        <f t="shared" si="1"/>
        <v>0</v>
      </c>
      <c r="F45" s="220">
        <f>'Kustannusarvio|Rakennusselostus'!Q45</f>
        <v>0</v>
      </c>
      <c r="G45" s="221">
        <f>'Kustannusarvio|Rakennusselostus'!R45</f>
        <v>0</v>
      </c>
      <c r="H45" s="11"/>
    </row>
    <row r="46" spans="1:8" x14ac:dyDescent="0.35">
      <c r="A46" s="12"/>
      <c r="B46" s="174" t="s">
        <v>19</v>
      </c>
      <c r="C46" s="218">
        <f>'Kustannusarvio|Rakennusselostus'!N46</f>
        <v>0</v>
      </c>
      <c r="D46" s="218">
        <f>'Kustannusarvio|Rakennusselostus'!O46</f>
        <v>0</v>
      </c>
      <c r="E46" s="219">
        <f t="shared" si="1"/>
        <v>0</v>
      </c>
      <c r="F46" s="220">
        <f>'Kustannusarvio|Rakennusselostus'!Q46</f>
        <v>0</v>
      </c>
      <c r="G46" s="221">
        <f>'Kustannusarvio|Rakennusselostus'!R46</f>
        <v>0</v>
      </c>
      <c r="H46" s="11"/>
    </row>
    <row r="47" spans="1:8" x14ac:dyDescent="0.35">
      <c r="A47" s="12"/>
      <c r="B47" s="174" t="s">
        <v>217</v>
      </c>
      <c r="C47" s="218">
        <f>'Kustannusarvio|Rakennusselostus'!N47</f>
        <v>0</v>
      </c>
      <c r="D47" s="218">
        <f>'Kustannusarvio|Rakennusselostus'!O47</f>
        <v>0</v>
      </c>
      <c r="E47" s="219">
        <f t="shared" si="1"/>
        <v>0</v>
      </c>
      <c r="F47" s="220">
        <f>'Kustannusarvio|Rakennusselostus'!Q47</f>
        <v>0</v>
      </c>
      <c r="G47" s="221">
        <f>'Kustannusarvio|Rakennusselostus'!R47</f>
        <v>0</v>
      </c>
      <c r="H47" s="11"/>
    </row>
    <row r="48" spans="1:8" x14ac:dyDescent="0.35">
      <c r="A48" s="12"/>
      <c r="B48" s="188" t="str">
        <f>SUBSTITUTE(IF('Kustannusarvio|Rakennusselostus'!C48="",'Kustannusarvio|Rakennusselostus'!B48,'Kustannusarvio|Rakennusselostus'!C48),":","")</f>
        <v>Muu korjaus</v>
      </c>
      <c r="C48" s="218">
        <f>'Kustannusarvio|Rakennusselostus'!N48</f>
        <v>0</v>
      </c>
      <c r="D48" s="218">
        <f>'Kustannusarvio|Rakennusselostus'!O48</f>
        <v>0</v>
      </c>
      <c r="E48" s="219">
        <f t="shared" si="1"/>
        <v>0</v>
      </c>
      <c r="F48" s="220">
        <f>'Kustannusarvio|Rakennusselostus'!Q48</f>
        <v>0</v>
      </c>
      <c r="G48" s="221">
        <f>'Kustannusarvio|Rakennusselostus'!R48</f>
        <v>0</v>
      </c>
      <c r="H48" s="11"/>
    </row>
    <row r="49" spans="1:8" x14ac:dyDescent="0.35">
      <c r="A49" s="10" t="s">
        <v>44</v>
      </c>
      <c r="B49" s="27"/>
      <c r="C49" s="30"/>
      <c r="D49" s="30"/>
      <c r="E49" s="27"/>
      <c r="F49" s="293"/>
      <c r="G49" s="264"/>
      <c r="H49" s="11"/>
    </row>
    <row r="50" spans="1:8" x14ac:dyDescent="0.35">
      <c r="A50" s="12"/>
      <c r="B50" s="174" t="s">
        <v>99</v>
      </c>
      <c r="C50" s="218">
        <f>'Kustannusarvio|Rakennusselostus'!N50</f>
        <v>0</v>
      </c>
      <c r="D50" s="218">
        <f>'Kustannusarvio|Rakennusselostus'!O50</f>
        <v>0</v>
      </c>
      <c r="E50" s="219">
        <f t="shared" si="1"/>
        <v>0</v>
      </c>
      <c r="F50" s="220">
        <f>'Kustannusarvio|Rakennusselostus'!Q50</f>
        <v>0</v>
      </c>
      <c r="G50" s="221">
        <f>'Kustannusarvio|Rakennusselostus'!R50</f>
        <v>0</v>
      </c>
      <c r="H50" s="11"/>
    </row>
    <row r="51" spans="1:8" x14ac:dyDescent="0.35">
      <c r="A51" s="12"/>
      <c r="B51" s="174" t="s">
        <v>45</v>
      </c>
      <c r="C51" s="218">
        <f>'Kustannusarvio|Rakennusselostus'!N51</f>
        <v>0</v>
      </c>
      <c r="D51" s="218">
        <f>'Kustannusarvio|Rakennusselostus'!O51</f>
        <v>0</v>
      </c>
      <c r="E51" s="219">
        <f t="shared" si="1"/>
        <v>0</v>
      </c>
      <c r="F51" s="220">
        <f>'Kustannusarvio|Rakennusselostus'!Q51</f>
        <v>0</v>
      </c>
      <c r="G51" s="221">
        <f>'Kustannusarvio|Rakennusselostus'!R51</f>
        <v>0</v>
      </c>
      <c r="H51" s="11"/>
    </row>
    <row r="52" spans="1:8" x14ac:dyDescent="0.35">
      <c r="A52" s="12"/>
      <c r="B52" s="174" t="s">
        <v>47</v>
      </c>
      <c r="C52" s="218">
        <f>'Kustannusarvio|Rakennusselostus'!N52</f>
        <v>0</v>
      </c>
      <c r="D52" s="218">
        <f>'Kustannusarvio|Rakennusselostus'!O52</f>
        <v>0</v>
      </c>
      <c r="E52" s="219">
        <f t="shared" si="1"/>
        <v>0</v>
      </c>
      <c r="F52" s="220">
        <f>'Kustannusarvio|Rakennusselostus'!Q52</f>
        <v>0</v>
      </c>
      <c r="G52" s="221">
        <f>'Kustannusarvio|Rakennusselostus'!R52</f>
        <v>0</v>
      </c>
      <c r="H52" s="11"/>
    </row>
    <row r="53" spans="1:8" x14ac:dyDescent="0.35">
      <c r="A53" s="12"/>
      <c r="B53" s="174" t="s">
        <v>46</v>
      </c>
      <c r="C53" s="218">
        <f>'Kustannusarvio|Rakennusselostus'!N53</f>
        <v>0</v>
      </c>
      <c r="D53" s="218">
        <f>'Kustannusarvio|Rakennusselostus'!O53</f>
        <v>0</v>
      </c>
      <c r="E53" s="219">
        <f t="shared" si="1"/>
        <v>0</v>
      </c>
      <c r="F53" s="220">
        <f>'Kustannusarvio|Rakennusselostus'!Q53</f>
        <v>0</v>
      </c>
      <c r="G53" s="221">
        <f>'Kustannusarvio|Rakennusselostus'!R53</f>
        <v>0</v>
      </c>
      <c r="H53" s="11"/>
    </row>
    <row r="54" spans="1:8" x14ac:dyDescent="0.35">
      <c r="A54" s="12"/>
      <c r="B54" s="174" t="s">
        <v>100</v>
      </c>
      <c r="C54" s="218">
        <f>'Kustannusarvio|Rakennusselostus'!N54</f>
        <v>0</v>
      </c>
      <c r="D54" s="218">
        <f>'Kustannusarvio|Rakennusselostus'!O54</f>
        <v>0</v>
      </c>
      <c r="E54" s="219">
        <f t="shared" si="1"/>
        <v>0</v>
      </c>
      <c r="F54" s="220">
        <f>'Kustannusarvio|Rakennusselostus'!Q54</f>
        <v>0</v>
      </c>
      <c r="G54" s="221">
        <f>'Kustannusarvio|Rakennusselostus'!R54</f>
        <v>0</v>
      </c>
      <c r="H54" s="11"/>
    </row>
    <row r="55" spans="1:8" x14ac:dyDescent="0.35">
      <c r="A55" s="12"/>
      <c r="B55" s="174" t="s">
        <v>48</v>
      </c>
      <c r="C55" s="218">
        <f>'Kustannusarvio|Rakennusselostus'!N55</f>
        <v>0</v>
      </c>
      <c r="D55" s="218">
        <f>'Kustannusarvio|Rakennusselostus'!O55</f>
        <v>0</v>
      </c>
      <c r="E55" s="219">
        <f t="shared" si="1"/>
        <v>0</v>
      </c>
      <c r="F55" s="220">
        <f>'Kustannusarvio|Rakennusselostus'!Q55</f>
        <v>0</v>
      </c>
      <c r="G55" s="221">
        <f>'Kustannusarvio|Rakennusselostus'!R55</f>
        <v>0</v>
      </c>
      <c r="H55" s="11"/>
    </row>
    <row r="56" spans="1:8" x14ac:dyDescent="0.35">
      <c r="A56" s="12"/>
      <c r="B56" s="188" t="str">
        <f>SUBSTITUTE(IF('Kustannusarvio|Rakennusselostus'!C56="",'Kustannusarvio|Rakennusselostus'!B56,'Kustannusarvio|Rakennusselostus'!C56),":","")</f>
        <v>Muu korjaus</v>
      </c>
      <c r="C56" s="218">
        <f>'Kustannusarvio|Rakennusselostus'!N56</f>
        <v>0</v>
      </c>
      <c r="D56" s="218">
        <f>'Kustannusarvio|Rakennusselostus'!O56</f>
        <v>0</v>
      </c>
      <c r="E56" s="219">
        <f t="shared" si="1"/>
        <v>0</v>
      </c>
      <c r="F56" s="220">
        <f>'Kustannusarvio|Rakennusselostus'!Q56</f>
        <v>0</v>
      </c>
      <c r="G56" s="221">
        <f>'Kustannusarvio|Rakennusselostus'!R56</f>
        <v>0</v>
      </c>
      <c r="H56" s="11"/>
    </row>
    <row r="57" spans="1:8" x14ac:dyDescent="0.35">
      <c r="A57" s="10" t="s">
        <v>51</v>
      </c>
      <c r="B57" s="27"/>
      <c r="C57" s="30"/>
      <c r="D57" s="30"/>
      <c r="E57" s="27"/>
      <c r="F57" s="293"/>
      <c r="G57" s="264"/>
      <c r="H57" s="11"/>
    </row>
    <row r="58" spans="1:8" x14ac:dyDescent="0.35">
      <c r="A58" s="12"/>
      <c r="B58" s="174" t="s">
        <v>246</v>
      </c>
      <c r="C58" s="218">
        <f>'Kustannusarvio|Rakennusselostus'!N58</f>
        <v>0</v>
      </c>
      <c r="D58" s="218">
        <f>'Kustannusarvio|Rakennusselostus'!O58</f>
        <v>0</v>
      </c>
      <c r="E58" s="219">
        <f t="shared" si="1"/>
        <v>0</v>
      </c>
      <c r="F58" s="220">
        <f>'Kustannusarvio|Rakennusselostus'!Q58</f>
        <v>0</v>
      </c>
      <c r="G58" s="221">
        <f>'Kustannusarvio|Rakennusselostus'!R58</f>
        <v>0</v>
      </c>
      <c r="H58" s="11"/>
    </row>
    <row r="59" spans="1:8" x14ac:dyDescent="0.35">
      <c r="A59" s="12"/>
      <c r="B59" s="174" t="s">
        <v>49</v>
      </c>
      <c r="C59" s="218">
        <f>'Kustannusarvio|Rakennusselostus'!N59</f>
        <v>0</v>
      </c>
      <c r="D59" s="218">
        <f>'Kustannusarvio|Rakennusselostus'!O59</f>
        <v>0</v>
      </c>
      <c r="E59" s="219">
        <f t="shared" si="1"/>
        <v>0</v>
      </c>
      <c r="F59" s="220">
        <f>'Kustannusarvio|Rakennusselostus'!Q59</f>
        <v>0</v>
      </c>
      <c r="G59" s="221">
        <f>'Kustannusarvio|Rakennusselostus'!R59</f>
        <v>0</v>
      </c>
      <c r="H59" s="11"/>
    </row>
    <row r="60" spans="1:8" x14ac:dyDescent="0.35">
      <c r="A60" s="12"/>
      <c r="B60" s="174" t="s">
        <v>50</v>
      </c>
      <c r="C60" s="218">
        <f>'Kustannusarvio|Rakennusselostus'!N60</f>
        <v>0</v>
      </c>
      <c r="D60" s="218">
        <f>'Kustannusarvio|Rakennusselostus'!O60</f>
        <v>0</v>
      </c>
      <c r="E60" s="219">
        <f t="shared" si="1"/>
        <v>0</v>
      </c>
      <c r="F60" s="220">
        <f>'Kustannusarvio|Rakennusselostus'!Q60</f>
        <v>0</v>
      </c>
      <c r="G60" s="221">
        <f>'Kustannusarvio|Rakennusselostus'!R60</f>
        <v>0</v>
      </c>
      <c r="H60" s="11"/>
    </row>
    <row r="61" spans="1:8" x14ac:dyDescent="0.35">
      <c r="A61" s="12"/>
      <c r="B61" s="174" t="s">
        <v>94</v>
      </c>
      <c r="C61" s="218">
        <f>'Kustannusarvio|Rakennusselostus'!N61</f>
        <v>0</v>
      </c>
      <c r="D61" s="218">
        <f>'Kustannusarvio|Rakennusselostus'!O61</f>
        <v>0</v>
      </c>
      <c r="E61" s="219">
        <f t="shared" si="1"/>
        <v>0</v>
      </c>
      <c r="F61" s="220">
        <f>'Kustannusarvio|Rakennusselostus'!Q61</f>
        <v>0</v>
      </c>
      <c r="G61" s="221">
        <f>'Kustannusarvio|Rakennusselostus'!R61</f>
        <v>0</v>
      </c>
      <c r="H61" s="11"/>
    </row>
    <row r="62" spans="1:8" x14ac:dyDescent="0.35">
      <c r="A62" s="12"/>
      <c r="B62" s="174" t="s">
        <v>118</v>
      </c>
      <c r="C62" s="218">
        <f>'Kustannusarvio|Rakennusselostus'!N62</f>
        <v>0</v>
      </c>
      <c r="D62" s="218">
        <f>'Kustannusarvio|Rakennusselostus'!O62</f>
        <v>0</v>
      </c>
      <c r="E62" s="219">
        <f t="shared" si="1"/>
        <v>0</v>
      </c>
      <c r="F62" s="220">
        <f>'Kustannusarvio|Rakennusselostus'!Q62</f>
        <v>0</v>
      </c>
      <c r="G62" s="221">
        <f>'Kustannusarvio|Rakennusselostus'!R62</f>
        <v>0</v>
      </c>
      <c r="H62" s="11"/>
    </row>
    <row r="63" spans="1:8" x14ac:dyDescent="0.35">
      <c r="A63" s="12"/>
      <c r="B63" s="174" t="s">
        <v>95</v>
      </c>
      <c r="C63" s="218">
        <f>'Kustannusarvio|Rakennusselostus'!N63</f>
        <v>0</v>
      </c>
      <c r="D63" s="218">
        <f>'Kustannusarvio|Rakennusselostus'!O63</f>
        <v>0</v>
      </c>
      <c r="E63" s="219">
        <f t="shared" si="1"/>
        <v>0</v>
      </c>
      <c r="F63" s="220">
        <f>'Kustannusarvio|Rakennusselostus'!Q63</f>
        <v>0</v>
      </c>
      <c r="G63" s="221">
        <f>'Kustannusarvio|Rakennusselostus'!R63</f>
        <v>0</v>
      </c>
      <c r="H63" s="11"/>
    </row>
    <row r="64" spans="1:8" x14ac:dyDescent="0.35">
      <c r="A64" s="12"/>
      <c r="B64" s="174" t="s">
        <v>18</v>
      </c>
      <c r="C64" s="218">
        <f>'Kustannusarvio|Rakennusselostus'!N64</f>
        <v>0</v>
      </c>
      <c r="D64" s="218">
        <f>'Kustannusarvio|Rakennusselostus'!O64</f>
        <v>0</v>
      </c>
      <c r="E64" s="219">
        <f t="shared" si="1"/>
        <v>0</v>
      </c>
      <c r="F64" s="220">
        <f>'Kustannusarvio|Rakennusselostus'!Q64</f>
        <v>0</v>
      </c>
      <c r="G64" s="221">
        <f>'Kustannusarvio|Rakennusselostus'!R64</f>
        <v>0</v>
      </c>
      <c r="H64" s="11"/>
    </row>
    <row r="65" spans="1:8" x14ac:dyDescent="0.35">
      <c r="A65" s="12"/>
      <c r="B65" s="174" t="s">
        <v>52</v>
      </c>
      <c r="C65" s="218">
        <f>'Kustannusarvio|Rakennusselostus'!N65</f>
        <v>0</v>
      </c>
      <c r="D65" s="218">
        <f>'Kustannusarvio|Rakennusselostus'!O65</f>
        <v>0</v>
      </c>
      <c r="E65" s="219">
        <f t="shared" si="1"/>
        <v>0</v>
      </c>
      <c r="F65" s="220">
        <f>'Kustannusarvio|Rakennusselostus'!Q65</f>
        <v>0</v>
      </c>
      <c r="G65" s="221">
        <f>'Kustannusarvio|Rakennusselostus'!R65</f>
        <v>0</v>
      </c>
      <c r="H65" s="11"/>
    </row>
    <row r="66" spans="1:8" x14ac:dyDescent="0.35">
      <c r="A66" s="12"/>
      <c r="B66" s="174" t="s">
        <v>218</v>
      </c>
      <c r="C66" s="218">
        <f>'Kustannusarvio|Rakennusselostus'!N66</f>
        <v>0</v>
      </c>
      <c r="D66" s="218">
        <f>'Kustannusarvio|Rakennusselostus'!O66</f>
        <v>0</v>
      </c>
      <c r="E66" s="219">
        <f t="shared" si="1"/>
        <v>0</v>
      </c>
      <c r="F66" s="220">
        <f>'Kustannusarvio|Rakennusselostus'!Q66</f>
        <v>0</v>
      </c>
      <c r="G66" s="221">
        <f>'Kustannusarvio|Rakennusselostus'!R66</f>
        <v>0</v>
      </c>
      <c r="H66" s="11"/>
    </row>
    <row r="67" spans="1:8" x14ac:dyDescent="0.35">
      <c r="A67" s="12"/>
      <c r="B67" s="174" t="s">
        <v>53</v>
      </c>
      <c r="C67" s="218">
        <f>'Kustannusarvio|Rakennusselostus'!N67</f>
        <v>0</v>
      </c>
      <c r="D67" s="218">
        <f>'Kustannusarvio|Rakennusselostus'!O67</f>
        <v>0</v>
      </c>
      <c r="E67" s="219">
        <f t="shared" si="1"/>
        <v>0</v>
      </c>
      <c r="F67" s="220">
        <f>'Kustannusarvio|Rakennusselostus'!Q67</f>
        <v>0</v>
      </c>
      <c r="G67" s="221">
        <f>'Kustannusarvio|Rakennusselostus'!R67</f>
        <v>0</v>
      </c>
      <c r="H67" s="11"/>
    </row>
    <row r="68" spans="1:8" x14ac:dyDescent="0.35">
      <c r="A68" s="12"/>
      <c r="B68" s="188" t="str">
        <f>SUBSTITUTE(IF('Kustannusarvio|Rakennusselostus'!C68="",'Kustannusarvio|Rakennusselostus'!B68,'Kustannusarvio|Rakennusselostus'!C68),":","")</f>
        <v>Muu korjaus</v>
      </c>
      <c r="C68" s="218">
        <f>'Kustannusarvio|Rakennusselostus'!N68</f>
        <v>0</v>
      </c>
      <c r="D68" s="218">
        <f>'Kustannusarvio|Rakennusselostus'!O68</f>
        <v>0</v>
      </c>
      <c r="E68" s="219">
        <f t="shared" si="1"/>
        <v>0</v>
      </c>
      <c r="F68" s="220">
        <f>'Kustannusarvio|Rakennusselostus'!Q68</f>
        <v>0</v>
      </c>
      <c r="G68" s="221">
        <f>'Kustannusarvio|Rakennusselostus'!R68</f>
        <v>0</v>
      </c>
      <c r="H68" s="11"/>
    </row>
    <row r="69" spans="1:8" x14ac:dyDescent="0.35">
      <c r="A69" s="10" t="s">
        <v>39</v>
      </c>
      <c r="B69" s="27"/>
      <c r="C69" s="30"/>
      <c r="D69" s="30"/>
      <c r="E69" s="27"/>
      <c r="F69" s="293"/>
      <c r="G69" s="264"/>
      <c r="H69" s="11"/>
    </row>
    <row r="70" spans="1:8" x14ac:dyDescent="0.35">
      <c r="A70" s="12"/>
      <c r="B70" s="174" t="s">
        <v>56</v>
      </c>
      <c r="C70" s="218">
        <f>'Kustannusarvio|Rakennusselostus'!N70</f>
        <v>0</v>
      </c>
      <c r="D70" s="218">
        <f>'Kustannusarvio|Rakennusselostus'!O70</f>
        <v>0</v>
      </c>
      <c r="E70" s="219">
        <f t="shared" si="1"/>
        <v>0</v>
      </c>
      <c r="F70" s="220">
        <f>'Kustannusarvio|Rakennusselostus'!Q70</f>
        <v>0</v>
      </c>
      <c r="G70" s="221">
        <f>'Kustannusarvio|Rakennusselostus'!R70</f>
        <v>0</v>
      </c>
      <c r="H70" s="11"/>
    </row>
    <row r="71" spans="1:8" x14ac:dyDescent="0.35">
      <c r="A71" s="12"/>
      <c r="B71" s="174" t="s">
        <v>55</v>
      </c>
      <c r="C71" s="218">
        <f>'Kustannusarvio|Rakennusselostus'!N71</f>
        <v>0</v>
      </c>
      <c r="D71" s="218">
        <f>'Kustannusarvio|Rakennusselostus'!O71</f>
        <v>0</v>
      </c>
      <c r="E71" s="219">
        <f t="shared" si="1"/>
        <v>0</v>
      </c>
      <c r="F71" s="220">
        <f>'Kustannusarvio|Rakennusselostus'!Q71</f>
        <v>0</v>
      </c>
      <c r="G71" s="221">
        <f>'Kustannusarvio|Rakennusselostus'!R71</f>
        <v>0</v>
      </c>
      <c r="H71" s="11"/>
    </row>
    <row r="72" spans="1:8" x14ac:dyDescent="0.35">
      <c r="A72" s="12"/>
      <c r="B72" s="174" t="s">
        <v>54</v>
      </c>
      <c r="C72" s="218">
        <f>'Kustannusarvio|Rakennusselostus'!N72</f>
        <v>0</v>
      </c>
      <c r="D72" s="218">
        <f>'Kustannusarvio|Rakennusselostus'!O72</f>
        <v>0</v>
      </c>
      <c r="E72" s="219">
        <f t="shared" si="1"/>
        <v>0</v>
      </c>
      <c r="F72" s="220">
        <f>'Kustannusarvio|Rakennusselostus'!Q72</f>
        <v>0</v>
      </c>
      <c r="G72" s="221">
        <f>'Kustannusarvio|Rakennusselostus'!R72</f>
        <v>0</v>
      </c>
      <c r="H72" s="11"/>
    </row>
    <row r="73" spans="1:8" x14ac:dyDescent="0.35">
      <c r="A73" s="12"/>
      <c r="B73" s="174" t="s">
        <v>57</v>
      </c>
      <c r="C73" s="218">
        <f>'Kustannusarvio|Rakennusselostus'!N73</f>
        <v>0</v>
      </c>
      <c r="D73" s="218">
        <f>'Kustannusarvio|Rakennusselostus'!O73</f>
        <v>0</v>
      </c>
      <c r="E73" s="219">
        <f t="shared" si="1"/>
        <v>0</v>
      </c>
      <c r="F73" s="220">
        <f>'Kustannusarvio|Rakennusselostus'!Q73</f>
        <v>0</v>
      </c>
      <c r="G73" s="221">
        <f>'Kustannusarvio|Rakennusselostus'!R73</f>
        <v>0</v>
      </c>
      <c r="H73" s="11"/>
    </row>
    <row r="74" spans="1:8" x14ac:dyDescent="0.35">
      <c r="A74" s="12"/>
      <c r="B74" s="174" t="s">
        <v>101</v>
      </c>
      <c r="C74" s="218">
        <f>'Kustannusarvio|Rakennusselostus'!N74</f>
        <v>0</v>
      </c>
      <c r="D74" s="218">
        <f>'Kustannusarvio|Rakennusselostus'!O74</f>
        <v>0</v>
      </c>
      <c r="E74" s="219">
        <f t="shared" si="1"/>
        <v>0</v>
      </c>
      <c r="F74" s="220">
        <f>'Kustannusarvio|Rakennusselostus'!Q74</f>
        <v>0</v>
      </c>
      <c r="G74" s="221">
        <f>'Kustannusarvio|Rakennusselostus'!R74</f>
        <v>0</v>
      </c>
      <c r="H74" s="11"/>
    </row>
    <row r="75" spans="1:8" x14ac:dyDescent="0.35">
      <c r="A75" s="12"/>
      <c r="B75" s="174" t="s">
        <v>58</v>
      </c>
      <c r="C75" s="218">
        <f>'Kustannusarvio|Rakennusselostus'!N75</f>
        <v>0</v>
      </c>
      <c r="D75" s="218">
        <f>'Kustannusarvio|Rakennusselostus'!O75</f>
        <v>0</v>
      </c>
      <c r="E75" s="219">
        <f t="shared" si="1"/>
        <v>0</v>
      </c>
      <c r="F75" s="220">
        <f>'Kustannusarvio|Rakennusselostus'!Q75</f>
        <v>0</v>
      </c>
      <c r="G75" s="221">
        <f>'Kustannusarvio|Rakennusselostus'!R75</f>
        <v>0</v>
      </c>
      <c r="H75" s="11"/>
    </row>
    <row r="76" spans="1:8" x14ac:dyDescent="0.35">
      <c r="A76" s="12"/>
      <c r="B76" s="174" t="s">
        <v>102</v>
      </c>
      <c r="C76" s="218">
        <f>'Kustannusarvio|Rakennusselostus'!N76</f>
        <v>0</v>
      </c>
      <c r="D76" s="218">
        <f>'Kustannusarvio|Rakennusselostus'!O76</f>
        <v>0</v>
      </c>
      <c r="E76" s="219">
        <f t="shared" si="1"/>
        <v>0</v>
      </c>
      <c r="F76" s="220">
        <f>'Kustannusarvio|Rakennusselostus'!Q76</f>
        <v>0</v>
      </c>
      <c r="G76" s="221">
        <f>'Kustannusarvio|Rakennusselostus'!R76</f>
        <v>0</v>
      </c>
      <c r="H76" s="11"/>
    </row>
    <row r="77" spans="1:8" x14ac:dyDescent="0.35">
      <c r="A77" s="12"/>
      <c r="B77" s="174" t="str">
        <f>SUBSTITUTE(IF('Kustannusarvio|Rakennusselostus'!C77="",'Kustannusarvio|Rakennusselostus'!B77,'Kustannusarvio|Rakennusselostus'!C77),":","")</f>
        <v>Muu korjaus</v>
      </c>
      <c r="C77" s="218">
        <f>'Kustannusarvio|Rakennusselostus'!N77</f>
        <v>0</v>
      </c>
      <c r="D77" s="218">
        <f>'Kustannusarvio|Rakennusselostus'!O77</f>
        <v>0</v>
      </c>
      <c r="E77" s="219">
        <f t="shared" si="1"/>
        <v>0</v>
      </c>
      <c r="F77" s="220">
        <f>'Kustannusarvio|Rakennusselostus'!Q77</f>
        <v>0</v>
      </c>
      <c r="G77" s="221">
        <f>'Kustannusarvio|Rakennusselostus'!R77</f>
        <v>0</v>
      </c>
      <c r="H77" s="11"/>
    </row>
    <row r="78" spans="1:8" x14ac:dyDescent="0.35">
      <c r="A78" s="10" t="s">
        <v>59</v>
      </c>
      <c r="B78" s="27"/>
      <c r="C78" s="30"/>
      <c r="D78" s="30"/>
      <c r="E78" s="27"/>
      <c r="F78" s="293"/>
      <c r="G78" s="264"/>
      <c r="H78" s="11"/>
    </row>
    <row r="79" spans="1:8" x14ac:dyDescent="0.35">
      <c r="A79" s="12"/>
      <c r="B79" s="174" t="s">
        <v>103</v>
      </c>
      <c r="C79" s="218">
        <f>'Kustannusarvio|Rakennusselostus'!N79</f>
        <v>0</v>
      </c>
      <c r="D79" s="218">
        <f>'Kustannusarvio|Rakennusselostus'!O79</f>
        <v>0</v>
      </c>
      <c r="E79" s="219">
        <f t="shared" si="1"/>
        <v>0</v>
      </c>
      <c r="F79" s="220">
        <f>'Kustannusarvio|Rakennusselostus'!Q79</f>
        <v>0</v>
      </c>
      <c r="G79" s="221">
        <f>'Kustannusarvio|Rakennusselostus'!R79</f>
        <v>0</v>
      </c>
      <c r="H79" s="11"/>
    </row>
    <row r="80" spans="1:8" x14ac:dyDescent="0.35">
      <c r="A80" s="12"/>
      <c r="B80" s="174" t="s">
        <v>104</v>
      </c>
      <c r="C80" s="218">
        <f>'Kustannusarvio|Rakennusselostus'!N80</f>
        <v>0</v>
      </c>
      <c r="D80" s="218">
        <f>'Kustannusarvio|Rakennusselostus'!O80</f>
        <v>0</v>
      </c>
      <c r="E80" s="219">
        <f t="shared" si="1"/>
        <v>0</v>
      </c>
      <c r="F80" s="220">
        <f>'Kustannusarvio|Rakennusselostus'!Q80</f>
        <v>0</v>
      </c>
      <c r="G80" s="221">
        <f>'Kustannusarvio|Rakennusselostus'!R80</f>
        <v>0</v>
      </c>
      <c r="H80" s="11"/>
    </row>
    <row r="81" spans="1:8" x14ac:dyDescent="0.35">
      <c r="A81" s="12"/>
      <c r="B81" s="174" t="s">
        <v>69</v>
      </c>
      <c r="C81" s="218">
        <f>'Kustannusarvio|Rakennusselostus'!N81</f>
        <v>0</v>
      </c>
      <c r="D81" s="218">
        <f>'Kustannusarvio|Rakennusselostus'!O81</f>
        <v>0</v>
      </c>
      <c r="E81" s="219">
        <f t="shared" ref="E81:E101" si="2">C81*20+D81*60</f>
        <v>0</v>
      </c>
      <c r="F81" s="220">
        <f>'Kustannusarvio|Rakennusselostus'!Q81</f>
        <v>0</v>
      </c>
      <c r="G81" s="221">
        <f>'Kustannusarvio|Rakennusselostus'!R81</f>
        <v>0</v>
      </c>
      <c r="H81" s="11"/>
    </row>
    <row r="82" spans="1:8" x14ac:dyDescent="0.35">
      <c r="A82" s="12"/>
      <c r="B82" s="188" t="str">
        <f>SUBSTITUTE(IF('Kustannusarvio|Rakennusselostus'!C82="",'Kustannusarvio|Rakennusselostus'!B82,'Kustannusarvio|Rakennusselostus'!C82),":","")</f>
        <v>Muu korjaus</v>
      </c>
      <c r="C82" s="218">
        <f>'Kustannusarvio|Rakennusselostus'!N82</f>
        <v>0</v>
      </c>
      <c r="D82" s="218">
        <f>'Kustannusarvio|Rakennusselostus'!O82</f>
        <v>0</v>
      </c>
      <c r="E82" s="219">
        <f t="shared" si="2"/>
        <v>0</v>
      </c>
      <c r="F82" s="220">
        <f>'Kustannusarvio|Rakennusselostus'!Q82</f>
        <v>0</v>
      </c>
      <c r="G82" s="221">
        <f>'Kustannusarvio|Rakennusselostus'!R82</f>
        <v>0</v>
      </c>
      <c r="H82" s="11"/>
    </row>
    <row r="83" spans="1:8" x14ac:dyDescent="0.35">
      <c r="A83" s="10" t="s">
        <v>60</v>
      </c>
      <c r="B83" s="27"/>
      <c r="C83" s="30"/>
      <c r="D83" s="30"/>
      <c r="E83" s="27"/>
      <c r="F83" s="293"/>
      <c r="G83" s="264"/>
      <c r="H83" s="11"/>
    </row>
    <row r="84" spans="1:8" x14ac:dyDescent="0.35">
      <c r="A84" s="12"/>
      <c r="B84" s="174" t="s">
        <v>17</v>
      </c>
      <c r="C84" s="218">
        <f>'Kustannusarvio|Rakennusselostus'!N84</f>
        <v>0</v>
      </c>
      <c r="D84" s="218">
        <f>'Kustannusarvio|Rakennusselostus'!O84</f>
        <v>0</v>
      </c>
      <c r="E84" s="219">
        <f t="shared" si="2"/>
        <v>0</v>
      </c>
      <c r="F84" s="220">
        <f>'Kustannusarvio|Rakennusselostus'!Q84</f>
        <v>0</v>
      </c>
      <c r="G84" s="221">
        <f>'Kustannusarvio|Rakennusselostus'!R84</f>
        <v>0</v>
      </c>
      <c r="H84" s="11"/>
    </row>
    <row r="85" spans="1:8" x14ac:dyDescent="0.35">
      <c r="A85" s="12"/>
      <c r="B85" s="174" t="s">
        <v>61</v>
      </c>
      <c r="C85" s="218">
        <f>'Kustannusarvio|Rakennusselostus'!N85</f>
        <v>0</v>
      </c>
      <c r="D85" s="218">
        <f>'Kustannusarvio|Rakennusselostus'!O85</f>
        <v>0</v>
      </c>
      <c r="E85" s="219">
        <f t="shared" si="2"/>
        <v>0</v>
      </c>
      <c r="F85" s="220">
        <f>'Kustannusarvio|Rakennusselostus'!Q85</f>
        <v>0</v>
      </c>
      <c r="G85" s="221">
        <f>'Kustannusarvio|Rakennusselostus'!R85</f>
        <v>0</v>
      </c>
      <c r="H85" s="11"/>
    </row>
    <row r="86" spans="1:8" x14ac:dyDescent="0.35">
      <c r="A86" s="12"/>
      <c r="B86" s="174" t="s">
        <v>62</v>
      </c>
      <c r="C86" s="218">
        <f>'Kustannusarvio|Rakennusselostus'!N86</f>
        <v>0</v>
      </c>
      <c r="D86" s="218">
        <f>'Kustannusarvio|Rakennusselostus'!O86</f>
        <v>0</v>
      </c>
      <c r="E86" s="219">
        <f t="shared" si="2"/>
        <v>0</v>
      </c>
      <c r="F86" s="220">
        <f>'Kustannusarvio|Rakennusselostus'!Q86</f>
        <v>0</v>
      </c>
      <c r="G86" s="221">
        <f>'Kustannusarvio|Rakennusselostus'!R86</f>
        <v>0</v>
      </c>
      <c r="H86" s="11"/>
    </row>
    <row r="87" spans="1:8" x14ac:dyDescent="0.35">
      <c r="A87" s="12"/>
      <c r="B87" s="174" t="s">
        <v>105</v>
      </c>
      <c r="C87" s="218">
        <f>'Kustannusarvio|Rakennusselostus'!N87</f>
        <v>0</v>
      </c>
      <c r="D87" s="218">
        <f>'Kustannusarvio|Rakennusselostus'!O87</f>
        <v>0</v>
      </c>
      <c r="E87" s="219">
        <f t="shared" si="2"/>
        <v>0</v>
      </c>
      <c r="F87" s="220">
        <f>'Kustannusarvio|Rakennusselostus'!Q87</f>
        <v>0</v>
      </c>
      <c r="G87" s="221">
        <f>'Kustannusarvio|Rakennusselostus'!R87</f>
        <v>0</v>
      </c>
      <c r="H87" s="11"/>
    </row>
    <row r="88" spans="1:8" x14ac:dyDescent="0.35">
      <c r="A88" s="12"/>
      <c r="B88" s="174" t="s">
        <v>70</v>
      </c>
      <c r="C88" s="218">
        <f>'Kustannusarvio|Rakennusselostus'!N88</f>
        <v>0</v>
      </c>
      <c r="D88" s="218">
        <f>'Kustannusarvio|Rakennusselostus'!O88</f>
        <v>0</v>
      </c>
      <c r="E88" s="219">
        <f t="shared" si="2"/>
        <v>0</v>
      </c>
      <c r="F88" s="220">
        <f>'Kustannusarvio|Rakennusselostus'!Q88</f>
        <v>0</v>
      </c>
      <c r="G88" s="221">
        <f>'Kustannusarvio|Rakennusselostus'!R88</f>
        <v>0</v>
      </c>
      <c r="H88" s="11"/>
    </row>
    <row r="89" spans="1:8" x14ac:dyDescent="0.35">
      <c r="A89" s="12"/>
      <c r="B89" s="174" t="s">
        <v>106</v>
      </c>
      <c r="C89" s="218">
        <f>'Kustannusarvio|Rakennusselostus'!N89</f>
        <v>0</v>
      </c>
      <c r="D89" s="218">
        <f>'Kustannusarvio|Rakennusselostus'!O89</f>
        <v>0</v>
      </c>
      <c r="E89" s="219">
        <f t="shared" si="2"/>
        <v>0</v>
      </c>
      <c r="F89" s="220">
        <f>'Kustannusarvio|Rakennusselostus'!Q89</f>
        <v>0</v>
      </c>
      <c r="G89" s="221">
        <f>'Kustannusarvio|Rakennusselostus'!R89</f>
        <v>0</v>
      </c>
      <c r="H89" s="11"/>
    </row>
    <row r="90" spans="1:8" x14ac:dyDescent="0.35">
      <c r="A90" s="12"/>
      <c r="B90" s="174" t="s">
        <v>63</v>
      </c>
      <c r="C90" s="218">
        <f>'Kustannusarvio|Rakennusselostus'!N90</f>
        <v>0</v>
      </c>
      <c r="D90" s="218">
        <f>'Kustannusarvio|Rakennusselostus'!O90</f>
        <v>0</v>
      </c>
      <c r="E90" s="219">
        <f t="shared" si="2"/>
        <v>0</v>
      </c>
      <c r="F90" s="220">
        <f>'Kustannusarvio|Rakennusselostus'!Q90</f>
        <v>0</v>
      </c>
      <c r="G90" s="221">
        <f>'Kustannusarvio|Rakennusselostus'!R90</f>
        <v>0</v>
      </c>
      <c r="H90" s="11"/>
    </row>
    <row r="91" spans="1:8" x14ac:dyDescent="0.35">
      <c r="A91" s="12"/>
      <c r="B91" s="174" t="s">
        <v>64</v>
      </c>
      <c r="C91" s="218">
        <f>'Kustannusarvio|Rakennusselostus'!N91</f>
        <v>0</v>
      </c>
      <c r="D91" s="218">
        <f>'Kustannusarvio|Rakennusselostus'!O91</f>
        <v>0</v>
      </c>
      <c r="E91" s="219">
        <f t="shared" si="2"/>
        <v>0</v>
      </c>
      <c r="F91" s="220">
        <f>'Kustannusarvio|Rakennusselostus'!Q91</f>
        <v>0</v>
      </c>
      <c r="G91" s="221">
        <f>'Kustannusarvio|Rakennusselostus'!R91</f>
        <v>0</v>
      </c>
      <c r="H91" s="11"/>
    </row>
    <row r="92" spans="1:8" x14ac:dyDescent="0.35">
      <c r="A92" s="12"/>
      <c r="B92" s="174" t="s">
        <v>250</v>
      </c>
      <c r="C92" s="218">
        <f>'Kustannusarvio|Rakennusselostus'!N92</f>
        <v>0</v>
      </c>
      <c r="D92" s="218">
        <f>'Kustannusarvio|Rakennusselostus'!O92</f>
        <v>0</v>
      </c>
      <c r="E92" s="219">
        <f t="shared" si="2"/>
        <v>0</v>
      </c>
      <c r="F92" s="220">
        <f>'Kustannusarvio|Rakennusselostus'!Q92</f>
        <v>0</v>
      </c>
      <c r="G92" s="221">
        <f>'Kustannusarvio|Rakennusselostus'!R92</f>
        <v>0</v>
      </c>
      <c r="H92" s="11"/>
    </row>
    <row r="93" spans="1:8" x14ac:dyDescent="0.35">
      <c r="A93" s="12"/>
      <c r="B93" s="174" t="s">
        <v>119</v>
      </c>
      <c r="C93" s="218">
        <f>'Kustannusarvio|Rakennusselostus'!N93</f>
        <v>0</v>
      </c>
      <c r="D93" s="218">
        <f>'Kustannusarvio|Rakennusselostus'!O93</f>
        <v>0</v>
      </c>
      <c r="E93" s="219">
        <f t="shared" si="2"/>
        <v>0</v>
      </c>
      <c r="F93" s="220">
        <f>'Kustannusarvio|Rakennusselostus'!Q93</f>
        <v>0</v>
      </c>
      <c r="G93" s="221">
        <f>'Kustannusarvio|Rakennusselostus'!R93</f>
        <v>0</v>
      </c>
      <c r="H93" s="11"/>
    </row>
    <row r="94" spans="1:8" x14ac:dyDescent="0.35">
      <c r="A94" s="12"/>
      <c r="B94" s="174" t="s">
        <v>65</v>
      </c>
      <c r="C94" s="218">
        <f>'Kustannusarvio|Rakennusselostus'!N94</f>
        <v>0</v>
      </c>
      <c r="D94" s="218">
        <f>'Kustannusarvio|Rakennusselostus'!O94</f>
        <v>0</v>
      </c>
      <c r="E94" s="219">
        <f t="shared" si="2"/>
        <v>0</v>
      </c>
      <c r="F94" s="220">
        <f>'Kustannusarvio|Rakennusselostus'!Q94</f>
        <v>0</v>
      </c>
      <c r="G94" s="221">
        <f>'Kustannusarvio|Rakennusselostus'!R94</f>
        <v>0</v>
      </c>
      <c r="H94" s="11"/>
    </row>
    <row r="95" spans="1:8" x14ac:dyDescent="0.35">
      <c r="A95" s="12"/>
      <c r="B95" s="174" t="s">
        <v>107</v>
      </c>
      <c r="C95" s="218">
        <f>'Kustannusarvio|Rakennusselostus'!N95</f>
        <v>0</v>
      </c>
      <c r="D95" s="218">
        <f>'Kustannusarvio|Rakennusselostus'!O95</f>
        <v>0</v>
      </c>
      <c r="E95" s="219">
        <f t="shared" si="2"/>
        <v>0</v>
      </c>
      <c r="F95" s="220">
        <f>'Kustannusarvio|Rakennusselostus'!Q95</f>
        <v>0</v>
      </c>
      <c r="G95" s="221">
        <f>'Kustannusarvio|Rakennusselostus'!R95</f>
        <v>0</v>
      </c>
      <c r="H95" s="11"/>
    </row>
    <row r="96" spans="1:8" x14ac:dyDescent="0.35">
      <c r="A96" s="12"/>
      <c r="B96" s="188" t="str">
        <f>SUBSTITUTE(IF('Kustannusarvio|Rakennusselostus'!C96="",'Kustannusarvio|Rakennusselostus'!B96,'Kustannusarvio|Rakennusselostus'!C96),":","")</f>
        <v>Muu korjaus</v>
      </c>
      <c r="C96" s="218">
        <f>'Kustannusarvio|Rakennusselostus'!N96</f>
        <v>0</v>
      </c>
      <c r="D96" s="218">
        <f>'Kustannusarvio|Rakennusselostus'!O96</f>
        <v>0</v>
      </c>
      <c r="E96" s="219">
        <f t="shared" si="2"/>
        <v>0</v>
      </c>
      <c r="F96" s="220">
        <f>'Kustannusarvio|Rakennusselostus'!Q96</f>
        <v>0</v>
      </c>
      <c r="G96" s="221">
        <f>'Kustannusarvio|Rakennusselostus'!R96</f>
        <v>0</v>
      </c>
      <c r="H96" s="11"/>
    </row>
    <row r="97" spans="1:8" x14ac:dyDescent="0.35">
      <c r="A97" s="10" t="s">
        <v>68</v>
      </c>
      <c r="B97" s="27"/>
      <c r="C97" s="30"/>
      <c r="D97" s="30"/>
      <c r="E97" s="27"/>
      <c r="F97" s="293"/>
      <c r="G97" s="264"/>
      <c r="H97" s="11"/>
    </row>
    <row r="98" spans="1:8" x14ac:dyDescent="0.35">
      <c r="A98" s="12"/>
      <c r="B98" s="174" t="s">
        <v>66</v>
      </c>
      <c r="C98" s="218">
        <f>'Kustannusarvio|Rakennusselostus'!N98</f>
        <v>0</v>
      </c>
      <c r="D98" s="218">
        <f>'Kustannusarvio|Rakennusselostus'!O98</f>
        <v>0</v>
      </c>
      <c r="E98" s="219">
        <f t="shared" si="2"/>
        <v>0</v>
      </c>
      <c r="F98" s="220">
        <f>'Kustannusarvio|Rakennusselostus'!Q98</f>
        <v>0</v>
      </c>
      <c r="G98" s="221">
        <f>'Kustannusarvio|Rakennusselostus'!R98</f>
        <v>0</v>
      </c>
      <c r="H98" s="11"/>
    </row>
    <row r="99" spans="1:8" x14ac:dyDescent="0.35">
      <c r="A99" s="12"/>
      <c r="B99" s="174" t="s">
        <v>67</v>
      </c>
      <c r="C99" s="218">
        <f>'Kustannusarvio|Rakennusselostus'!N99</f>
        <v>0</v>
      </c>
      <c r="D99" s="218">
        <f>'Kustannusarvio|Rakennusselostus'!O99</f>
        <v>0</v>
      </c>
      <c r="E99" s="219">
        <f t="shared" si="2"/>
        <v>0</v>
      </c>
      <c r="F99" s="220">
        <f>'Kustannusarvio|Rakennusselostus'!Q99</f>
        <v>0</v>
      </c>
      <c r="G99" s="221">
        <f>'Kustannusarvio|Rakennusselostus'!R99</f>
        <v>0</v>
      </c>
      <c r="H99" s="11"/>
    </row>
    <row r="100" spans="1:8" x14ac:dyDescent="0.35">
      <c r="A100" s="12"/>
      <c r="B100" s="174" t="s">
        <v>71</v>
      </c>
      <c r="C100" s="218">
        <f>'Kustannusarvio|Rakennusselostus'!N100</f>
        <v>0</v>
      </c>
      <c r="D100" s="218">
        <f>'Kustannusarvio|Rakennusselostus'!O100</f>
        <v>0</v>
      </c>
      <c r="E100" s="219">
        <f t="shared" si="2"/>
        <v>0</v>
      </c>
      <c r="F100" s="220">
        <f>'Kustannusarvio|Rakennusselostus'!Q100</f>
        <v>0</v>
      </c>
      <c r="G100" s="221">
        <f>'Kustannusarvio|Rakennusselostus'!R100</f>
        <v>0</v>
      </c>
      <c r="H100" s="11"/>
    </row>
    <row r="101" spans="1:8" x14ac:dyDescent="0.35">
      <c r="A101" s="12"/>
      <c r="B101" s="174" t="s">
        <v>111</v>
      </c>
      <c r="C101" s="218">
        <f>'Kustannusarvio|Rakennusselostus'!N101</f>
        <v>0</v>
      </c>
      <c r="D101" s="218">
        <f>'Kustannusarvio|Rakennusselostus'!O101</f>
        <v>0</v>
      </c>
      <c r="E101" s="219">
        <f t="shared" si="2"/>
        <v>0</v>
      </c>
      <c r="F101" s="220">
        <f>'Kustannusarvio|Rakennusselostus'!Q101</f>
        <v>0</v>
      </c>
      <c r="G101" s="221">
        <f>'Kustannusarvio|Rakennusselostus'!R101</f>
        <v>0</v>
      </c>
      <c r="H101" s="11"/>
    </row>
    <row r="102" spans="1:8" x14ac:dyDescent="0.35">
      <c r="A102" s="12"/>
      <c r="B102" s="188" t="str">
        <f>SUBSTITUTE(IF('Kustannusarvio|Rakennusselostus'!C102="",'Kustannusarvio|Rakennusselostus'!B102,'Kustannusarvio|Rakennusselostus'!C102),":","")</f>
        <v>Muu korjaus</v>
      </c>
      <c r="C102" s="218">
        <f>'Kustannusarvio|Rakennusselostus'!N102</f>
        <v>0</v>
      </c>
      <c r="D102" s="218">
        <f>'Kustannusarvio|Rakennusselostus'!O102</f>
        <v>0</v>
      </c>
      <c r="E102" s="219">
        <f t="shared" ref="E102:E165" si="3">C102*20+D102*60</f>
        <v>0</v>
      </c>
      <c r="F102" s="220">
        <f>'Kustannusarvio|Rakennusselostus'!Q102</f>
        <v>0</v>
      </c>
      <c r="G102" s="221">
        <f>'Kustannusarvio|Rakennusselostus'!R102</f>
        <v>0</v>
      </c>
      <c r="H102" s="11"/>
    </row>
    <row r="103" spans="1:8" x14ac:dyDescent="0.35">
      <c r="A103" s="10" t="s">
        <v>79</v>
      </c>
      <c r="B103" s="27"/>
      <c r="C103" s="30"/>
      <c r="D103" s="30"/>
      <c r="E103" s="27"/>
      <c r="F103" s="293"/>
      <c r="G103" s="264"/>
      <c r="H103" s="11"/>
    </row>
    <row r="104" spans="1:8" x14ac:dyDescent="0.35">
      <c r="A104" s="12"/>
      <c r="B104" s="174" t="s">
        <v>82</v>
      </c>
      <c r="C104" s="218">
        <f>'Kustannusarvio|Rakennusselostus'!N104</f>
        <v>0</v>
      </c>
      <c r="D104" s="218">
        <f>'Kustannusarvio|Rakennusselostus'!O104</f>
        <v>0</v>
      </c>
      <c r="E104" s="219">
        <f t="shared" si="3"/>
        <v>0</v>
      </c>
      <c r="F104" s="220">
        <f>'Kustannusarvio|Rakennusselostus'!Q104</f>
        <v>0</v>
      </c>
      <c r="G104" s="221">
        <f>'Kustannusarvio|Rakennusselostus'!R104</f>
        <v>0</v>
      </c>
      <c r="H104" s="11"/>
    </row>
    <row r="105" spans="1:8" x14ac:dyDescent="0.35">
      <c r="A105" s="12"/>
      <c r="B105" s="174" t="s">
        <v>72</v>
      </c>
      <c r="C105" s="218">
        <f>'Kustannusarvio|Rakennusselostus'!N105</f>
        <v>0</v>
      </c>
      <c r="D105" s="218">
        <f>'Kustannusarvio|Rakennusselostus'!O105</f>
        <v>0</v>
      </c>
      <c r="E105" s="219">
        <f t="shared" si="3"/>
        <v>0</v>
      </c>
      <c r="F105" s="220">
        <f>'Kustannusarvio|Rakennusselostus'!Q105</f>
        <v>0</v>
      </c>
      <c r="G105" s="221">
        <f>'Kustannusarvio|Rakennusselostus'!R105</f>
        <v>0</v>
      </c>
      <c r="H105" s="11"/>
    </row>
    <row r="106" spans="1:8" x14ac:dyDescent="0.35">
      <c r="A106" s="12"/>
      <c r="B106" s="174" t="s">
        <v>73</v>
      </c>
      <c r="C106" s="218">
        <f>'Kustannusarvio|Rakennusselostus'!N106</f>
        <v>0</v>
      </c>
      <c r="D106" s="218">
        <f>'Kustannusarvio|Rakennusselostus'!O106</f>
        <v>0</v>
      </c>
      <c r="E106" s="219">
        <f t="shared" si="3"/>
        <v>0</v>
      </c>
      <c r="F106" s="220">
        <f>'Kustannusarvio|Rakennusselostus'!Q106</f>
        <v>0</v>
      </c>
      <c r="G106" s="221">
        <f>'Kustannusarvio|Rakennusselostus'!R106</f>
        <v>0</v>
      </c>
      <c r="H106" s="11"/>
    </row>
    <row r="107" spans="1:8" x14ac:dyDescent="0.35">
      <c r="A107" s="12"/>
      <c r="B107" s="174" t="s">
        <v>74</v>
      </c>
      <c r="C107" s="218">
        <f>'Kustannusarvio|Rakennusselostus'!N107</f>
        <v>0</v>
      </c>
      <c r="D107" s="218">
        <f>'Kustannusarvio|Rakennusselostus'!O107</f>
        <v>0</v>
      </c>
      <c r="E107" s="219">
        <f t="shared" si="3"/>
        <v>0</v>
      </c>
      <c r="F107" s="220">
        <f>'Kustannusarvio|Rakennusselostus'!Q107</f>
        <v>0</v>
      </c>
      <c r="G107" s="221">
        <f>'Kustannusarvio|Rakennusselostus'!R107</f>
        <v>0</v>
      </c>
      <c r="H107" s="11"/>
    </row>
    <row r="108" spans="1:8" x14ac:dyDescent="0.35">
      <c r="A108" s="12"/>
      <c r="B108" s="174" t="s">
        <v>75</v>
      </c>
      <c r="C108" s="218">
        <f>'Kustannusarvio|Rakennusselostus'!N108</f>
        <v>0</v>
      </c>
      <c r="D108" s="218">
        <f>'Kustannusarvio|Rakennusselostus'!O108</f>
        <v>0</v>
      </c>
      <c r="E108" s="219">
        <f t="shared" si="3"/>
        <v>0</v>
      </c>
      <c r="F108" s="220">
        <f>'Kustannusarvio|Rakennusselostus'!Q108</f>
        <v>0</v>
      </c>
      <c r="G108" s="221">
        <f>'Kustannusarvio|Rakennusselostus'!R108</f>
        <v>0</v>
      </c>
      <c r="H108" s="11"/>
    </row>
    <row r="109" spans="1:8" x14ac:dyDescent="0.35">
      <c r="A109" s="12"/>
      <c r="B109" s="174" t="s">
        <v>120</v>
      </c>
      <c r="C109" s="218">
        <f>'Kustannusarvio|Rakennusselostus'!N109</f>
        <v>0</v>
      </c>
      <c r="D109" s="218">
        <f>'Kustannusarvio|Rakennusselostus'!O109</f>
        <v>0</v>
      </c>
      <c r="E109" s="219">
        <f t="shared" si="3"/>
        <v>0</v>
      </c>
      <c r="F109" s="220">
        <f>'Kustannusarvio|Rakennusselostus'!Q109</f>
        <v>0</v>
      </c>
      <c r="G109" s="221">
        <f>'Kustannusarvio|Rakennusselostus'!R109</f>
        <v>0</v>
      </c>
      <c r="H109" s="11"/>
    </row>
    <row r="110" spans="1:8" x14ac:dyDescent="0.35">
      <c r="A110" s="12"/>
      <c r="B110" s="174" t="s">
        <v>81</v>
      </c>
      <c r="C110" s="218">
        <f>'Kustannusarvio|Rakennusselostus'!N111</f>
        <v>0</v>
      </c>
      <c r="D110" s="218">
        <f>'Kustannusarvio|Rakennusselostus'!O111</f>
        <v>0</v>
      </c>
      <c r="E110" s="219">
        <f t="shared" si="3"/>
        <v>0</v>
      </c>
      <c r="F110" s="220">
        <f>'Kustannusarvio|Rakennusselostus'!Q111</f>
        <v>0</v>
      </c>
      <c r="G110" s="221">
        <f>'Kustannusarvio|Rakennusselostus'!R111</f>
        <v>0</v>
      </c>
      <c r="H110" s="11"/>
    </row>
    <row r="111" spans="1:8" x14ac:dyDescent="0.35">
      <c r="A111" s="12"/>
      <c r="B111" s="174" t="s">
        <v>76</v>
      </c>
      <c r="C111" s="218">
        <f>'Kustannusarvio|Rakennusselostus'!N112</f>
        <v>0</v>
      </c>
      <c r="D111" s="218">
        <f>'Kustannusarvio|Rakennusselostus'!O112</f>
        <v>0</v>
      </c>
      <c r="E111" s="219">
        <f t="shared" si="3"/>
        <v>0</v>
      </c>
      <c r="F111" s="220">
        <f>'Kustannusarvio|Rakennusselostus'!Q112</f>
        <v>0</v>
      </c>
      <c r="G111" s="221">
        <f>'Kustannusarvio|Rakennusselostus'!R112</f>
        <v>0</v>
      </c>
      <c r="H111" s="11"/>
    </row>
    <row r="112" spans="1:8" x14ac:dyDescent="0.35">
      <c r="A112" s="12"/>
      <c r="B112" s="174" t="s">
        <v>77</v>
      </c>
      <c r="C112" s="218">
        <f>'Kustannusarvio|Rakennusselostus'!N113</f>
        <v>0</v>
      </c>
      <c r="D112" s="218">
        <f>'Kustannusarvio|Rakennusselostus'!O113</f>
        <v>0</v>
      </c>
      <c r="E112" s="219">
        <f t="shared" si="3"/>
        <v>0</v>
      </c>
      <c r="F112" s="220">
        <f>'Kustannusarvio|Rakennusselostus'!Q113</f>
        <v>0</v>
      </c>
      <c r="G112" s="221">
        <f>'Kustannusarvio|Rakennusselostus'!R113</f>
        <v>0</v>
      </c>
      <c r="H112" s="11"/>
    </row>
    <row r="113" spans="1:8" x14ac:dyDescent="0.35">
      <c r="A113" s="12"/>
      <c r="B113" s="174" t="s">
        <v>78</v>
      </c>
      <c r="C113" s="218">
        <f>'Kustannusarvio|Rakennusselostus'!N114</f>
        <v>0</v>
      </c>
      <c r="D113" s="218">
        <f>'Kustannusarvio|Rakennusselostus'!O114</f>
        <v>0</v>
      </c>
      <c r="E113" s="219">
        <f t="shared" si="3"/>
        <v>0</v>
      </c>
      <c r="F113" s="220">
        <f>'Kustannusarvio|Rakennusselostus'!Q114</f>
        <v>0</v>
      </c>
      <c r="G113" s="221">
        <f>'Kustannusarvio|Rakennusselostus'!R114</f>
        <v>0</v>
      </c>
      <c r="H113" s="11"/>
    </row>
    <row r="114" spans="1:8" x14ac:dyDescent="0.35">
      <c r="A114" s="12"/>
      <c r="B114" s="174" t="s">
        <v>80</v>
      </c>
      <c r="C114" s="218">
        <f>'Kustannusarvio|Rakennusselostus'!N115</f>
        <v>0</v>
      </c>
      <c r="D114" s="218">
        <f>'Kustannusarvio|Rakennusselostus'!O115</f>
        <v>0</v>
      </c>
      <c r="E114" s="219">
        <f t="shared" si="3"/>
        <v>0</v>
      </c>
      <c r="F114" s="220">
        <f>'Kustannusarvio|Rakennusselostus'!Q115</f>
        <v>0</v>
      </c>
      <c r="G114" s="221">
        <f>'Kustannusarvio|Rakennusselostus'!R115</f>
        <v>0</v>
      </c>
      <c r="H114" s="11"/>
    </row>
    <row r="115" spans="1:8" x14ac:dyDescent="0.35">
      <c r="A115" s="12"/>
      <c r="B115" s="174" t="s">
        <v>83</v>
      </c>
      <c r="C115" s="218">
        <f>'Kustannusarvio|Rakennusselostus'!N116</f>
        <v>0</v>
      </c>
      <c r="D115" s="218">
        <f>'Kustannusarvio|Rakennusselostus'!O116</f>
        <v>0</v>
      </c>
      <c r="E115" s="219">
        <f t="shared" si="3"/>
        <v>0</v>
      </c>
      <c r="F115" s="220">
        <f>'Kustannusarvio|Rakennusselostus'!Q116</f>
        <v>0</v>
      </c>
      <c r="G115" s="221">
        <f>'Kustannusarvio|Rakennusselostus'!R116</f>
        <v>0</v>
      </c>
      <c r="H115" s="11"/>
    </row>
    <row r="116" spans="1:8" x14ac:dyDescent="0.35">
      <c r="A116" s="12"/>
      <c r="B116" s="174" t="s">
        <v>121</v>
      </c>
      <c r="C116" s="218">
        <f>'Kustannusarvio|Rakennusselostus'!N117</f>
        <v>0</v>
      </c>
      <c r="D116" s="218">
        <f>'Kustannusarvio|Rakennusselostus'!O117</f>
        <v>0</v>
      </c>
      <c r="E116" s="219">
        <f t="shared" si="3"/>
        <v>0</v>
      </c>
      <c r="F116" s="220">
        <f>'Kustannusarvio|Rakennusselostus'!Q117</f>
        <v>0</v>
      </c>
      <c r="G116" s="221">
        <f>'Kustannusarvio|Rakennusselostus'!R117</f>
        <v>0</v>
      </c>
      <c r="H116" s="11"/>
    </row>
    <row r="117" spans="1:8" x14ac:dyDescent="0.35">
      <c r="A117" s="12"/>
      <c r="B117" s="174" t="s">
        <v>84</v>
      </c>
      <c r="C117" s="218">
        <f>'Kustannusarvio|Rakennusselostus'!N118</f>
        <v>0</v>
      </c>
      <c r="D117" s="218">
        <f>'Kustannusarvio|Rakennusselostus'!O118</f>
        <v>0</v>
      </c>
      <c r="E117" s="219">
        <f t="shared" si="3"/>
        <v>0</v>
      </c>
      <c r="F117" s="220">
        <f>'Kustannusarvio|Rakennusselostus'!Q118</f>
        <v>0</v>
      </c>
      <c r="G117" s="221">
        <f>'Kustannusarvio|Rakennusselostus'!R118</f>
        <v>0</v>
      </c>
      <c r="H117" s="11"/>
    </row>
    <row r="118" spans="1:8" x14ac:dyDescent="0.35">
      <c r="A118" s="12"/>
      <c r="B118" s="174" t="s">
        <v>85</v>
      </c>
      <c r="C118" s="218">
        <f>'Kustannusarvio|Rakennusselostus'!N119</f>
        <v>0</v>
      </c>
      <c r="D118" s="218">
        <f>'Kustannusarvio|Rakennusselostus'!O119</f>
        <v>0</v>
      </c>
      <c r="E118" s="219">
        <f t="shared" si="3"/>
        <v>0</v>
      </c>
      <c r="F118" s="220">
        <f>'Kustannusarvio|Rakennusselostus'!Q119</f>
        <v>0</v>
      </c>
      <c r="G118" s="221">
        <f>'Kustannusarvio|Rakennusselostus'!R119</f>
        <v>0</v>
      </c>
      <c r="H118" s="11"/>
    </row>
    <row r="119" spans="1:8" x14ac:dyDescent="0.35">
      <c r="A119" s="12"/>
      <c r="B119" s="174" t="s">
        <v>86</v>
      </c>
      <c r="C119" s="218">
        <f>'Kustannusarvio|Rakennusselostus'!N120</f>
        <v>0</v>
      </c>
      <c r="D119" s="218">
        <f>'Kustannusarvio|Rakennusselostus'!O120</f>
        <v>0</v>
      </c>
      <c r="E119" s="219">
        <f t="shared" si="3"/>
        <v>0</v>
      </c>
      <c r="F119" s="220">
        <f>'Kustannusarvio|Rakennusselostus'!Q120</f>
        <v>0</v>
      </c>
      <c r="G119" s="221">
        <f>'Kustannusarvio|Rakennusselostus'!R120</f>
        <v>0</v>
      </c>
      <c r="H119" s="11"/>
    </row>
    <row r="120" spans="1:8" x14ac:dyDescent="0.35">
      <c r="A120" s="12"/>
      <c r="B120" s="174" t="s">
        <v>87</v>
      </c>
      <c r="C120" s="218">
        <f>'Kustannusarvio|Rakennusselostus'!N121</f>
        <v>0</v>
      </c>
      <c r="D120" s="218">
        <f>'Kustannusarvio|Rakennusselostus'!O121</f>
        <v>0</v>
      </c>
      <c r="E120" s="219">
        <f t="shared" si="3"/>
        <v>0</v>
      </c>
      <c r="F120" s="220">
        <f>'Kustannusarvio|Rakennusselostus'!Q121</f>
        <v>0</v>
      </c>
      <c r="G120" s="221">
        <f>'Kustannusarvio|Rakennusselostus'!R121</f>
        <v>0</v>
      </c>
      <c r="H120" s="11"/>
    </row>
    <row r="121" spans="1:8" x14ac:dyDescent="0.35">
      <c r="A121" s="12"/>
      <c r="B121" s="174" t="s">
        <v>88</v>
      </c>
      <c r="C121" s="218">
        <f>'Kustannusarvio|Rakennusselostus'!N122</f>
        <v>0</v>
      </c>
      <c r="D121" s="218">
        <f>'Kustannusarvio|Rakennusselostus'!O122</f>
        <v>0</v>
      </c>
      <c r="E121" s="219">
        <f t="shared" si="3"/>
        <v>0</v>
      </c>
      <c r="F121" s="220">
        <f>'Kustannusarvio|Rakennusselostus'!Q122</f>
        <v>0</v>
      </c>
      <c r="G121" s="221">
        <f>'Kustannusarvio|Rakennusselostus'!R122</f>
        <v>0</v>
      </c>
      <c r="H121" s="11"/>
    </row>
    <row r="122" spans="1:8" x14ac:dyDescent="0.35">
      <c r="A122" s="12"/>
      <c r="B122" s="174" t="s">
        <v>89</v>
      </c>
      <c r="C122" s="218">
        <f>'Kustannusarvio|Rakennusselostus'!N123</f>
        <v>0</v>
      </c>
      <c r="D122" s="218">
        <f>'Kustannusarvio|Rakennusselostus'!O123</f>
        <v>0</v>
      </c>
      <c r="E122" s="219">
        <f t="shared" si="3"/>
        <v>0</v>
      </c>
      <c r="F122" s="220">
        <f>'Kustannusarvio|Rakennusselostus'!Q123</f>
        <v>0</v>
      </c>
      <c r="G122" s="221">
        <f>'Kustannusarvio|Rakennusselostus'!R123</f>
        <v>0</v>
      </c>
      <c r="H122" s="11"/>
    </row>
    <row r="123" spans="1:8" x14ac:dyDescent="0.35">
      <c r="A123" s="12"/>
      <c r="B123" s="174" t="s">
        <v>90</v>
      </c>
      <c r="C123" s="218">
        <f>'Kustannusarvio|Rakennusselostus'!N124</f>
        <v>0</v>
      </c>
      <c r="D123" s="218">
        <f>'Kustannusarvio|Rakennusselostus'!O124</f>
        <v>0</v>
      </c>
      <c r="E123" s="219">
        <f t="shared" si="3"/>
        <v>0</v>
      </c>
      <c r="F123" s="220">
        <f>'Kustannusarvio|Rakennusselostus'!Q124</f>
        <v>0</v>
      </c>
      <c r="G123" s="221">
        <f>'Kustannusarvio|Rakennusselostus'!R124</f>
        <v>0</v>
      </c>
      <c r="H123" s="11"/>
    </row>
    <row r="124" spans="1:8" x14ac:dyDescent="0.35">
      <c r="A124" s="12"/>
      <c r="B124" s="174" t="s">
        <v>91</v>
      </c>
      <c r="C124" s="218">
        <f>'Kustannusarvio|Rakennusselostus'!N125</f>
        <v>0</v>
      </c>
      <c r="D124" s="218">
        <f>'Kustannusarvio|Rakennusselostus'!O125</f>
        <v>0</v>
      </c>
      <c r="E124" s="219">
        <f t="shared" si="3"/>
        <v>0</v>
      </c>
      <c r="F124" s="220">
        <f>'Kustannusarvio|Rakennusselostus'!Q125</f>
        <v>0</v>
      </c>
      <c r="G124" s="221">
        <f>'Kustannusarvio|Rakennusselostus'!R125</f>
        <v>0</v>
      </c>
      <c r="H124" s="11"/>
    </row>
    <row r="125" spans="1:8" x14ac:dyDescent="0.35">
      <c r="A125" s="12"/>
      <c r="B125" s="174" t="s">
        <v>92</v>
      </c>
      <c r="C125" s="218">
        <f>'Kustannusarvio|Rakennusselostus'!N126</f>
        <v>0</v>
      </c>
      <c r="D125" s="218">
        <f>'Kustannusarvio|Rakennusselostus'!O126</f>
        <v>0</v>
      </c>
      <c r="E125" s="219">
        <f t="shared" si="3"/>
        <v>0</v>
      </c>
      <c r="F125" s="220">
        <f>'Kustannusarvio|Rakennusselostus'!Q126</f>
        <v>0</v>
      </c>
      <c r="G125" s="221">
        <f>'Kustannusarvio|Rakennusselostus'!R126</f>
        <v>0</v>
      </c>
      <c r="H125" s="11"/>
    </row>
    <row r="126" spans="1:8" x14ac:dyDescent="0.35">
      <c r="A126" s="12"/>
      <c r="B126" s="174" t="s">
        <v>93</v>
      </c>
      <c r="C126" s="218">
        <f>'Kustannusarvio|Rakennusselostus'!N127</f>
        <v>0</v>
      </c>
      <c r="D126" s="218">
        <f>'Kustannusarvio|Rakennusselostus'!O127</f>
        <v>0</v>
      </c>
      <c r="E126" s="219">
        <f t="shared" si="3"/>
        <v>0</v>
      </c>
      <c r="F126" s="220">
        <f>'Kustannusarvio|Rakennusselostus'!Q127</f>
        <v>0</v>
      </c>
      <c r="G126" s="221">
        <f>'Kustannusarvio|Rakennusselostus'!R127</f>
        <v>0</v>
      </c>
      <c r="H126" s="11"/>
    </row>
    <row r="127" spans="1:8" x14ac:dyDescent="0.35">
      <c r="A127" s="12"/>
      <c r="B127" s="188" t="str">
        <f>SUBSTITUTE(IF('Kustannusarvio|Rakennusselostus'!C128="",'Kustannusarvio|Rakennusselostus'!B128,'Kustannusarvio|Rakennusselostus'!C128),":","")</f>
        <v>Muu korjaus</v>
      </c>
      <c r="C127" s="218">
        <f>'Kustannusarvio|Rakennusselostus'!N128</f>
        <v>0</v>
      </c>
      <c r="D127" s="218">
        <f>'Kustannusarvio|Rakennusselostus'!O128</f>
        <v>0</v>
      </c>
      <c r="E127" s="219">
        <f t="shared" si="3"/>
        <v>0</v>
      </c>
      <c r="F127" s="220">
        <f>'Kustannusarvio|Rakennusselostus'!Q128</f>
        <v>0</v>
      </c>
      <c r="G127" s="221">
        <f>'Kustannusarvio|Rakennusselostus'!R128</f>
        <v>0</v>
      </c>
      <c r="H127" s="11"/>
    </row>
    <row r="128" spans="1:8" x14ac:dyDescent="0.35">
      <c r="A128" s="12"/>
      <c r="B128" s="188" t="str">
        <f>SUBSTITUTE(IF('Kustannusarvio|Rakennusselostus'!C129="",'Kustannusarvio|Rakennusselostus'!B129,'Kustannusarvio|Rakennusselostus'!C129),":","")</f>
        <v>Muu korjaus</v>
      </c>
      <c r="C128" s="218">
        <f>'Kustannusarvio|Rakennusselostus'!N129</f>
        <v>0</v>
      </c>
      <c r="D128" s="218">
        <f>'Kustannusarvio|Rakennusselostus'!O129</f>
        <v>0</v>
      </c>
      <c r="E128" s="219">
        <f t="shared" si="3"/>
        <v>0</v>
      </c>
      <c r="F128" s="220">
        <f>'Kustannusarvio|Rakennusselostus'!Q129</f>
        <v>0</v>
      </c>
      <c r="G128" s="221">
        <f>'Kustannusarvio|Rakennusselostus'!R129</f>
        <v>0</v>
      </c>
      <c r="H128" s="11"/>
    </row>
    <row r="129" spans="1:8" x14ac:dyDescent="0.35">
      <c r="A129" s="44" t="s">
        <v>187</v>
      </c>
      <c r="B129" s="304"/>
      <c r="C129" s="86"/>
      <c r="D129" s="86"/>
      <c r="E129" s="86"/>
      <c r="F129" s="86"/>
      <c r="G129" s="259"/>
      <c r="H129" s="11"/>
    </row>
    <row r="130" spans="1:8" x14ac:dyDescent="0.35">
      <c r="A130" s="12"/>
      <c r="B130" s="174" t="s">
        <v>196</v>
      </c>
      <c r="C130" s="267">
        <f>'Kustannusarvio|Rakennusselostus'!N131</f>
        <v>0</v>
      </c>
      <c r="D130" s="267">
        <f>'Kustannusarvio|Rakennusselostus'!O131</f>
        <v>0</v>
      </c>
      <c r="E130" s="219">
        <f t="shared" si="3"/>
        <v>0</v>
      </c>
      <c r="F130" s="268">
        <f>'Kustannusarvio|Rakennusselostus'!Q131</f>
        <v>0</v>
      </c>
      <c r="G130" s="221">
        <f>'Kustannusarvio|Rakennusselostus'!R131</f>
        <v>0</v>
      </c>
      <c r="H130" s="11"/>
    </row>
    <row r="131" spans="1:8" x14ac:dyDescent="0.35">
      <c r="A131" s="12"/>
      <c r="B131" s="174" t="s">
        <v>191</v>
      </c>
      <c r="C131" s="218">
        <f>'Kustannusarvio|Rakennusselostus'!N132</f>
        <v>0</v>
      </c>
      <c r="D131" s="218">
        <f>'Kustannusarvio|Rakennusselostus'!O132</f>
        <v>0</v>
      </c>
      <c r="E131" s="219">
        <f t="shared" si="3"/>
        <v>0</v>
      </c>
      <c r="F131" s="220">
        <f>'Kustannusarvio|Rakennusselostus'!Q132</f>
        <v>0</v>
      </c>
      <c r="G131" s="221">
        <f>'Kustannusarvio|Rakennusselostus'!R132</f>
        <v>0</v>
      </c>
      <c r="H131" s="11"/>
    </row>
    <row r="132" spans="1:8" x14ac:dyDescent="0.35">
      <c r="A132" s="12"/>
      <c r="B132" s="174" t="s">
        <v>20</v>
      </c>
      <c r="C132" s="218">
        <f>'Kustannusarvio|Rakennusselostus'!N133</f>
        <v>0</v>
      </c>
      <c r="D132" s="218">
        <f>'Kustannusarvio|Rakennusselostus'!O133</f>
        <v>0</v>
      </c>
      <c r="E132" s="219">
        <f t="shared" si="3"/>
        <v>0</v>
      </c>
      <c r="F132" s="220">
        <f>'Kustannusarvio|Rakennusselostus'!Q133</f>
        <v>0</v>
      </c>
      <c r="G132" s="221">
        <f>'Kustannusarvio|Rakennusselostus'!R133</f>
        <v>0</v>
      </c>
      <c r="H132" s="11"/>
    </row>
    <row r="133" spans="1:8" x14ac:dyDescent="0.35">
      <c r="A133" s="12"/>
      <c r="B133" s="174" t="s">
        <v>188</v>
      </c>
      <c r="C133" s="218">
        <f>'Kustannusarvio|Rakennusselostus'!N134</f>
        <v>0</v>
      </c>
      <c r="D133" s="218">
        <f>'Kustannusarvio|Rakennusselostus'!O134</f>
        <v>0</v>
      </c>
      <c r="E133" s="219">
        <f t="shared" si="3"/>
        <v>0</v>
      </c>
      <c r="F133" s="220">
        <f>'Kustannusarvio|Rakennusselostus'!Q134</f>
        <v>0</v>
      </c>
      <c r="G133" s="221">
        <f>'Kustannusarvio|Rakennusselostus'!R134</f>
        <v>0</v>
      </c>
      <c r="H133" s="11"/>
    </row>
    <row r="134" spans="1:8" x14ac:dyDescent="0.35">
      <c r="A134" s="12"/>
      <c r="B134" s="174" t="s">
        <v>189</v>
      </c>
      <c r="C134" s="218">
        <f>'Kustannusarvio|Rakennusselostus'!N135</f>
        <v>0</v>
      </c>
      <c r="D134" s="218">
        <f>'Kustannusarvio|Rakennusselostus'!O135</f>
        <v>0</v>
      </c>
      <c r="E134" s="219">
        <f t="shared" si="3"/>
        <v>0</v>
      </c>
      <c r="F134" s="220">
        <f>'Kustannusarvio|Rakennusselostus'!Q135</f>
        <v>0</v>
      </c>
      <c r="G134" s="221">
        <f>'Kustannusarvio|Rakennusselostus'!R135</f>
        <v>0</v>
      </c>
      <c r="H134" s="11"/>
    </row>
    <row r="135" spans="1:8" x14ac:dyDescent="0.35">
      <c r="A135" s="12"/>
      <c r="B135" s="174" t="s">
        <v>190</v>
      </c>
      <c r="C135" s="218">
        <f>'Kustannusarvio|Rakennusselostus'!N136</f>
        <v>0</v>
      </c>
      <c r="D135" s="218">
        <f>'Kustannusarvio|Rakennusselostus'!O136</f>
        <v>0</v>
      </c>
      <c r="E135" s="219">
        <f t="shared" si="3"/>
        <v>0</v>
      </c>
      <c r="F135" s="220">
        <f>'Kustannusarvio|Rakennusselostus'!Q136</f>
        <v>0</v>
      </c>
      <c r="G135" s="221">
        <f>'Kustannusarvio|Rakennusselostus'!R136</f>
        <v>0</v>
      </c>
      <c r="H135" s="11"/>
    </row>
    <row r="136" spans="1:8" x14ac:dyDescent="0.35">
      <c r="A136" s="12"/>
      <c r="B136" s="174" t="s">
        <v>192</v>
      </c>
      <c r="C136" s="218">
        <f>'Kustannusarvio|Rakennusselostus'!N137</f>
        <v>0</v>
      </c>
      <c r="D136" s="218">
        <f>'Kustannusarvio|Rakennusselostus'!O137</f>
        <v>0</v>
      </c>
      <c r="E136" s="219">
        <f t="shared" si="3"/>
        <v>0</v>
      </c>
      <c r="F136" s="220">
        <f>'Kustannusarvio|Rakennusselostus'!Q137</f>
        <v>0</v>
      </c>
      <c r="G136" s="221">
        <f>'Kustannusarvio|Rakennusselostus'!R137</f>
        <v>0</v>
      </c>
      <c r="H136" s="11"/>
    </row>
    <row r="137" spans="1:8" x14ac:dyDescent="0.35">
      <c r="A137" s="12"/>
      <c r="B137" s="174" t="str">
        <f>SUBSTITUTE(IF('Kustannusarvio|Rakennusselostus'!C138="",'Kustannusarvio|Rakennusselostus'!B138,'Kustannusarvio|Rakennusselostus'!C138),":","")</f>
        <v>Muut koneet ja laitteet</v>
      </c>
      <c r="C137" s="218">
        <f>'Kustannusarvio|Rakennusselostus'!N138</f>
        <v>0</v>
      </c>
      <c r="D137" s="218">
        <f>'Kustannusarvio|Rakennusselostus'!O138</f>
        <v>0</v>
      </c>
      <c r="E137" s="219">
        <f t="shared" si="3"/>
        <v>0</v>
      </c>
      <c r="F137" s="220">
        <f>'Kustannusarvio|Rakennusselostus'!Q138</f>
        <v>0</v>
      </c>
      <c r="G137" s="221">
        <f>'Kustannusarvio|Rakennusselostus'!R138</f>
        <v>0</v>
      </c>
      <c r="H137" s="11"/>
    </row>
    <row r="138" spans="1:8" x14ac:dyDescent="0.35">
      <c r="A138" s="12"/>
      <c r="B138" s="174" t="str">
        <f>SUBSTITUTE(IF('Kustannusarvio|Rakennusselostus'!C139="",'Kustannusarvio|Rakennusselostus'!B139,'Kustannusarvio|Rakennusselostus'!C139),":","")</f>
        <v>Muu kaluste / varuste</v>
      </c>
      <c r="C138" s="218">
        <f>'Kustannusarvio|Rakennusselostus'!N139</f>
        <v>0</v>
      </c>
      <c r="D138" s="218">
        <f>'Kustannusarvio|Rakennusselostus'!O139</f>
        <v>0</v>
      </c>
      <c r="E138" s="219">
        <f t="shared" si="3"/>
        <v>0</v>
      </c>
      <c r="F138" s="220">
        <f>'Kustannusarvio|Rakennusselostus'!Q139</f>
        <v>0</v>
      </c>
      <c r="G138" s="221">
        <f>'Kustannusarvio|Rakennusselostus'!R139</f>
        <v>0</v>
      </c>
      <c r="H138" s="11"/>
    </row>
    <row r="139" spans="1:8" x14ac:dyDescent="0.35">
      <c r="A139" s="44" t="s">
        <v>193</v>
      </c>
      <c r="B139" s="304"/>
      <c r="C139" s="86"/>
      <c r="D139" s="86"/>
      <c r="E139" s="86"/>
      <c r="F139" s="87"/>
      <c r="G139" s="259"/>
      <c r="H139" s="11"/>
    </row>
    <row r="140" spans="1:8" x14ac:dyDescent="0.35">
      <c r="A140" s="12"/>
      <c r="B140" s="174" t="s">
        <v>97</v>
      </c>
      <c r="C140" s="267">
        <f>'Kustannusarvio|Rakennusselostus'!N141</f>
        <v>0</v>
      </c>
      <c r="D140" s="267">
        <f>'Kustannusarvio|Rakennusselostus'!O141</f>
        <v>0</v>
      </c>
      <c r="E140" s="219">
        <f t="shared" si="3"/>
        <v>0</v>
      </c>
      <c r="F140" s="268">
        <f>'Kustannusarvio|Rakennusselostus'!Q141</f>
        <v>0</v>
      </c>
      <c r="G140" s="221">
        <f>'Kustannusarvio|Rakennusselostus'!R141</f>
        <v>0</v>
      </c>
      <c r="H140" s="11"/>
    </row>
    <row r="141" spans="1:8" x14ac:dyDescent="0.35">
      <c r="A141" s="12"/>
      <c r="B141" s="174" t="s">
        <v>96</v>
      </c>
      <c r="C141" s="218">
        <f>'Kustannusarvio|Rakennusselostus'!N142</f>
        <v>0</v>
      </c>
      <c r="D141" s="218">
        <f>'Kustannusarvio|Rakennusselostus'!O142</f>
        <v>0</v>
      </c>
      <c r="E141" s="219">
        <f t="shared" si="3"/>
        <v>0</v>
      </c>
      <c r="F141" s="220">
        <f>'Kustannusarvio|Rakennusselostus'!Q142</f>
        <v>0</v>
      </c>
      <c r="G141" s="221">
        <f>'Kustannusarvio|Rakennusselostus'!R142</f>
        <v>0</v>
      </c>
      <c r="H141" s="11"/>
    </row>
    <row r="142" spans="1:8" x14ac:dyDescent="0.35">
      <c r="A142" s="12"/>
      <c r="B142" s="174" t="s">
        <v>194</v>
      </c>
      <c r="C142" s="218">
        <f>'Kustannusarvio|Rakennusselostus'!N143</f>
        <v>0</v>
      </c>
      <c r="D142" s="218">
        <f>'Kustannusarvio|Rakennusselostus'!O143</f>
        <v>0</v>
      </c>
      <c r="E142" s="219">
        <f t="shared" si="3"/>
        <v>0</v>
      </c>
      <c r="F142" s="220">
        <f>'Kustannusarvio|Rakennusselostus'!Q143</f>
        <v>0</v>
      </c>
      <c r="G142" s="221">
        <f>'Kustannusarvio|Rakennusselostus'!R143</f>
        <v>0</v>
      </c>
      <c r="H142" s="11"/>
    </row>
    <row r="143" spans="1:8" x14ac:dyDescent="0.35">
      <c r="A143" s="12"/>
      <c r="B143" s="226" t="s">
        <v>195</v>
      </c>
      <c r="C143" s="218">
        <f>'Kustannusarvio|Rakennusselostus'!N144</f>
        <v>0</v>
      </c>
      <c r="D143" s="218">
        <f>'Kustannusarvio|Rakennusselostus'!O144</f>
        <v>0</v>
      </c>
      <c r="E143" s="219">
        <f t="shared" si="3"/>
        <v>0</v>
      </c>
      <c r="F143" s="220">
        <f>'Kustannusarvio|Rakennusselostus'!Q144</f>
        <v>0</v>
      </c>
      <c r="G143" s="221">
        <f>'Kustannusarvio|Rakennusselostus'!R144</f>
        <v>0</v>
      </c>
      <c r="H143" s="11"/>
    </row>
    <row r="144" spans="1:8" x14ac:dyDescent="0.35">
      <c r="A144" s="44" t="s">
        <v>176</v>
      </c>
      <c r="B144" s="304"/>
      <c r="C144" s="86"/>
      <c r="D144" s="265"/>
      <c r="E144" s="265"/>
      <c r="F144" s="265"/>
      <c r="G144" s="259"/>
      <c r="H144" s="11"/>
    </row>
    <row r="145" spans="1:8" x14ac:dyDescent="0.35">
      <c r="A145" s="10" t="s">
        <v>177</v>
      </c>
      <c r="B145" s="27"/>
      <c r="C145" s="30"/>
      <c r="D145" s="30"/>
      <c r="E145" s="30"/>
      <c r="F145" s="30"/>
      <c r="G145" s="264"/>
      <c r="H145" s="11"/>
    </row>
    <row r="146" spans="1:8" x14ac:dyDescent="0.35">
      <c r="A146" s="12"/>
      <c r="B146" s="174" t="s">
        <v>197</v>
      </c>
      <c r="C146" s="218">
        <f>'Kustannusarvio|Rakennusselostus'!N147</f>
        <v>0</v>
      </c>
      <c r="D146" s="218">
        <f>'Kustannusarvio|Rakennusselostus'!O147</f>
        <v>0</v>
      </c>
      <c r="E146" s="219">
        <f t="shared" si="3"/>
        <v>0</v>
      </c>
      <c r="F146" s="220">
        <f>'Kustannusarvio|Rakennusselostus'!Q147</f>
        <v>0</v>
      </c>
      <c r="G146" s="221">
        <f>'Kustannusarvio|Rakennusselostus'!R147</f>
        <v>0</v>
      </c>
      <c r="H146" s="11"/>
    </row>
    <row r="147" spans="1:8" x14ac:dyDescent="0.35">
      <c r="A147" s="12"/>
      <c r="B147" s="174" t="s">
        <v>108</v>
      </c>
      <c r="C147" s="218">
        <f>'Kustannusarvio|Rakennusselostus'!N148</f>
        <v>0</v>
      </c>
      <c r="D147" s="218">
        <f>'Kustannusarvio|Rakennusselostus'!O148</f>
        <v>0</v>
      </c>
      <c r="E147" s="219">
        <f t="shared" si="3"/>
        <v>0</v>
      </c>
      <c r="F147" s="220">
        <f>'Kustannusarvio|Rakennusselostus'!Q148</f>
        <v>0</v>
      </c>
      <c r="G147" s="221">
        <f>'Kustannusarvio|Rakennusselostus'!R148</f>
        <v>0</v>
      </c>
      <c r="H147" s="11"/>
    </row>
    <row r="148" spans="1:8" x14ac:dyDescent="0.35">
      <c r="A148" s="12"/>
      <c r="B148" s="174" t="s">
        <v>109</v>
      </c>
      <c r="C148" s="218">
        <f>'Kustannusarvio|Rakennusselostus'!N149</f>
        <v>0</v>
      </c>
      <c r="D148" s="218">
        <f>'Kustannusarvio|Rakennusselostus'!O149</f>
        <v>0</v>
      </c>
      <c r="E148" s="219">
        <f t="shared" si="3"/>
        <v>0</v>
      </c>
      <c r="F148" s="220">
        <f>'Kustannusarvio|Rakennusselostus'!Q149</f>
        <v>0</v>
      </c>
      <c r="G148" s="221">
        <f>'Kustannusarvio|Rakennusselostus'!R149</f>
        <v>0</v>
      </c>
      <c r="H148" s="11"/>
    </row>
    <row r="149" spans="1:8" x14ac:dyDescent="0.35">
      <c r="A149" s="12"/>
      <c r="B149" s="174" t="s">
        <v>178</v>
      </c>
      <c r="C149" s="218">
        <f>'Kustannusarvio|Rakennusselostus'!N150</f>
        <v>0</v>
      </c>
      <c r="D149" s="218">
        <f>'Kustannusarvio|Rakennusselostus'!O150</f>
        <v>0</v>
      </c>
      <c r="E149" s="219">
        <f t="shared" si="3"/>
        <v>0</v>
      </c>
      <c r="F149" s="220">
        <f>'Kustannusarvio|Rakennusselostus'!Q150</f>
        <v>0</v>
      </c>
      <c r="G149" s="221">
        <f>'Kustannusarvio|Rakennusselostus'!R150</f>
        <v>0</v>
      </c>
      <c r="H149" s="11"/>
    </row>
    <row r="150" spans="1:8" x14ac:dyDescent="0.35">
      <c r="A150" s="12"/>
      <c r="B150" s="174" t="s">
        <v>179</v>
      </c>
      <c r="C150" s="218">
        <f>'Kustannusarvio|Rakennusselostus'!N151</f>
        <v>0</v>
      </c>
      <c r="D150" s="218">
        <f>'Kustannusarvio|Rakennusselostus'!O151</f>
        <v>0</v>
      </c>
      <c r="E150" s="219">
        <f t="shared" si="3"/>
        <v>0</v>
      </c>
      <c r="F150" s="220">
        <f>'Kustannusarvio|Rakennusselostus'!Q151</f>
        <v>0</v>
      </c>
      <c r="G150" s="221">
        <f>'Kustannusarvio|Rakennusselostus'!R151</f>
        <v>0</v>
      </c>
      <c r="H150" s="11"/>
    </row>
    <row r="151" spans="1:8" x14ac:dyDescent="0.35">
      <c r="A151" s="12"/>
      <c r="B151" s="174" t="s">
        <v>21</v>
      </c>
      <c r="C151" s="218">
        <f>'Kustannusarvio|Rakennusselostus'!N152</f>
        <v>0</v>
      </c>
      <c r="D151" s="218">
        <f>'Kustannusarvio|Rakennusselostus'!O152</f>
        <v>0</v>
      </c>
      <c r="E151" s="219">
        <f t="shared" si="3"/>
        <v>0</v>
      </c>
      <c r="F151" s="220">
        <f>'Kustannusarvio|Rakennusselostus'!Q152</f>
        <v>0</v>
      </c>
      <c r="G151" s="221">
        <f>'Kustannusarvio|Rakennusselostus'!R152</f>
        <v>0</v>
      </c>
      <c r="H151" s="11"/>
    </row>
    <row r="152" spans="1:8" x14ac:dyDescent="0.35">
      <c r="A152" s="12"/>
      <c r="B152" s="174" t="s">
        <v>22</v>
      </c>
      <c r="C152" s="218">
        <f>'Kustannusarvio|Rakennusselostus'!N153</f>
        <v>0</v>
      </c>
      <c r="D152" s="218">
        <f>'Kustannusarvio|Rakennusselostus'!O153</f>
        <v>0</v>
      </c>
      <c r="E152" s="219">
        <f t="shared" si="3"/>
        <v>0</v>
      </c>
      <c r="F152" s="220">
        <f>'Kustannusarvio|Rakennusselostus'!Q153</f>
        <v>0</v>
      </c>
      <c r="G152" s="221">
        <f>'Kustannusarvio|Rakennusselostus'!R153</f>
        <v>0</v>
      </c>
      <c r="H152" s="11"/>
    </row>
    <row r="153" spans="1:8" x14ac:dyDescent="0.35">
      <c r="A153" s="12"/>
      <c r="B153" s="174" t="s">
        <v>180</v>
      </c>
      <c r="C153" s="218">
        <f>'Kustannusarvio|Rakennusselostus'!N154</f>
        <v>0</v>
      </c>
      <c r="D153" s="218">
        <f>'Kustannusarvio|Rakennusselostus'!O154</f>
        <v>0</v>
      </c>
      <c r="E153" s="219">
        <f t="shared" si="3"/>
        <v>0</v>
      </c>
      <c r="F153" s="220">
        <f>'Kustannusarvio|Rakennusselostus'!Q154</f>
        <v>0</v>
      </c>
      <c r="G153" s="221">
        <f>'Kustannusarvio|Rakennusselostus'!R154</f>
        <v>0</v>
      </c>
      <c r="H153" s="11"/>
    </row>
    <row r="154" spans="1:8" x14ac:dyDescent="0.35">
      <c r="A154" s="12"/>
      <c r="B154" s="174" t="s">
        <v>181</v>
      </c>
      <c r="C154" s="218">
        <f>'Kustannusarvio|Rakennusselostus'!N155</f>
        <v>0</v>
      </c>
      <c r="D154" s="218">
        <f>'Kustannusarvio|Rakennusselostus'!O155</f>
        <v>0</v>
      </c>
      <c r="E154" s="219">
        <f t="shared" si="3"/>
        <v>0</v>
      </c>
      <c r="F154" s="220">
        <f>'Kustannusarvio|Rakennusselostus'!Q155</f>
        <v>0</v>
      </c>
      <c r="G154" s="221">
        <f>'Kustannusarvio|Rakennusselostus'!R155</f>
        <v>0</v>
      </c>
      <c r="H154" s="11"/>
    </row>
    <row r="155" spans="1:8" x14ac:dyDescent="0.35">
      <c r="A155" s="12"/>
      <c r="B155" s="174" t="s">
        <v>251</v>
      </c>
      <c r="C155" s="218">
        <f>'Kustannusarvio|Rakennusselostus'!N156</f>
        <v>0</v>
      </c>
      <c r="D155" s="218">
        <f>'Kustannusarvio|Rakennusselostus'!O156</f>
        <v>0</v>
      </c>
      <c r="E155" s="219">
        <f t="shared" si="3"/>
        <v>0</v>
      </c>
      <c r="F155" s="220">
        <f>'Kustannusarvio|Rakennusselostus'!Q156</f>
        <v>0</v>
      </c>
      <c r="G155" s="221">
        <f>'Kustannusarvio|Rakennusselostus'!R156</f>
        <v>0</v>
      </c>
      <c r="H155" s="11"/>
    </row>
    <row r="156" spans="1:8" x14ac:dyDescent="0.35">
      <c r="A156" s="12"/>
      <c r="B156" s="174" t="s">
        <v>182</v>
      </c>
      <c r="C156" s="218">
        <f>'Kustannusarvio|Rakennusselostus'!N157</f>
        <v>0</v>
      </c>
      <c r="D156" s="218">
        <f>'Kustannusarvio|Rakennusselostus'!O157</f>
        <v>0</v>
      </c>
      <c r="E156" s="219">
        <f t="shared" si="3"/>
        <v>0</v>
      </c>
      <c r="F156" s="220">
        <f>'Kustannusarvio|Rakennusselostus'!Q157</f>
        <v>0</v>
      </c>
      <c r="G156" s="221">
        <f>'Kustannusarvio|Rakennusselostus'!R157</f>
        <v>0</v>
      </c>
      <c r="H156" s="11"/>
    </row>
    <row r="157" spans="1:8" x14ac:dyDescent="0.35">
      <c r="A157" s="12"/>
      <c r="B157" s="174" t="s">
        <v>23</v>
      </c>
      <c r="C157" s="218">
        <f>'Kustannusarvio|Rakennusselostus'!N158</f>
        <v>0</v>
      </c>
      <c r="D157" s="218">
        <f>'Kustannusarvio|Rakennusselostus'!O158</f>
        <v>0</v>
      </c>
      <c r="E157" s="219">
        <f t="shared" si="3"/>
        <v>0</v>
      </c>
      <c r="F157" s="220">
        <f>'Kustannusarvio|Rakennusselostus'!Q158</f>
        <v>0</v>
      </c>
      <c r="G157" s="221">
        <f>'Kustannusarvio|Rakennusselostus'!R158</f>
        <v>0</v>
      </c>
      <c r="H157" s="11"/>
    </row>
    <row r="158" spans="1:8" x14ac:dyDescent="0.35">
      <c r="A158" s="10" t="s">
        <v>110</v>
      </c>
      <c r="B158" s="27"/>
      <c r="C158" s="30"/>
      <c r="D158" s="30"/>
      <c r="E158" s="30"/>
      <c r="F158" s="293"/>
      <c r="G158" s="264"/>
      <c r="H158" s="11"/>
    </row>
    <row r="159" spans="1:8" x14ac:dyDescent="0.35">
      <c r="A159" s="12"/>
      <c r="B159" s="174" t="s">
        <v>122</v>
      </c>
      <c r="C159" s="218">
        <f>'Kustannusarvio|Rakennusselostus'!N160</f>
        <v>0</v>
      </c>
      <c r="D159" s="218">
        <f>'Kustannusarvio|Rakennusselostus'!O160</f>
        <v>0</v>
      </c>
      <c r="E159" s="219">
        <f t="shared" si="3"/>
        <v>0</v>
      </c>
      <c r="F159" s="220">
        <f>'Kustannusarvio|Rakennusselostus'!Q160</f>
        <v>0</v>
      </c>
      <c r="G159" s="221">
        <f>'Kustannusarvio|Rakennusselostus'!R160</f>
        <v>0</v>
      </c>
      <c r="H159" s="11"/>
    </row>
    <row r="160" spans="1:8" x14ac:dyDescent="0.35">
      <c r="A160" s="12"/>
      <c r="B160" s="174" t="s">
        <v>123</v>
      </c>
      <c r="C160" s="218">
        <f>'Kustannusarvio|Rakennusselostus'!N161</f>
        <v>0</v>
      </c>
      <c r="D160" s="218">
        <f>'Kustannusarvio|Rakennusselostus'!O161</f>
        <v>0</v>
      </c>
      <c r="E160" s="219">
        <f t="shared" si="3"/>
        <v>0</v>
      </c>
      <c r="F160" s="220">
        <f>'Kustannusarvio|Rakennusselostus'!Q161</f>
        <v>0</v>
      </c>
      <c r="G160" s="221">
        <f>'Kustannusarvio|Rakennusselostus'!R161</f>
        <v>0</v>
      </c>
      <c r="H160" s="11"/>
    </row>
    <row r="161" spans="1:8" x14ac:dyDescent="0.35">
      <c r="A161" s="12"/>
      <c r="B161" s="174" t="s">
        <v>186</v>
      </c>
      <c r="C161" s="218">
        <f>'Kustannusarvio|Rakennusselostus'!N162</f>
        <v>0</v>
      </c>
      <c r="D161" s="218">
        <f>'Kustannusarvio|Rakennusselostus'!O162</f>
        <v>0</v>
      </c>
      <c r="E161" s="219">
        <f t="shared" si="3"/>
        <v>0</v>
      </c>
      <c r="F161" s="220">
        <f>'Kustannusarvio|Rakennusselostus'!Q162</f>
        <v>0</v>
      </c>
      <c r="G161" s="221">
        <f>'Kustannusarvio|Rakennusselostus'!R162</f>
        <v>0</v>
      </c>
      <c r="H161" s="11"/>
    </row>
    <row r="162" spans="1:8" x14ac:dyDescent="0.35">
      <c r="A162" s="12"/>
      <c r="B162" s="174" t="s">
        <v>183</v>
      </c>
      <c r="C162" s="218">
        <f>'Kustannusarvio|Rakennusselostus'!N163</f>
        <v>0</v>
      </c>
      <c r="D162" s="218">
        <f>'Kustannusarvio|Rakennusselostus'!O163</f>
        <v>0</v>
      </c>
      <c r="E162" s="219">
        <f t="shared" si="3"/>
        <v>0</v>
      </c>
      <c r="F162" s="220">
        <f>'Kustannusarvio|Rakennusselostus'!Q163</f>
        <v>0</v>
      </c>
      <c r="G162" s="221">
        <f>'Kustannusarvio|Rakennusselostus'!R163</f>
        <v>0</v>
      </c>
      <c r="H162" s="11"/>
    </row>
    <row r="163" spans="1:8" x14ac:dyDescent="0.35">
      <c r="A163" s="12"/>
      <c r="B163" s="174" t="s">
        <v>184</v>
      </c>
      <c r="C163" s="218">
        <f>'Kustannusarvio|Rakennusselostus'!N164</f>
        <v>0</v>
      </c>
      <c r="D163" s="218">
        <f>'Kustannusarvio|Rakennusselostus'!O164</f>
        <v>0</v>
      </c>
      <c r="E163" s="219">
        <f t="shared" si="3"/>
        <v>0</v>
      </c>
      <c r="F163" s="220">
        <f>'Kustannusarvio|Rakennusselostus'!Q164</f>
        <v>0</v>
      </c>
      <c r="G163" s="221">
        <f>'Kustannusarvio|Rakennusselostus'!R164</f>
        <v>0</v>
      </c>
      <c r="H163" s="11"/>
    </row>
    <row r="164" spans="1:8" x14ac:dyDescent="0.35">
      <c r="A164" s="12"/>
      <c r="B164" s="174" t="s">
        <v>185</v>
      </c>
      <c r="C164" s="218">
        <f>'Kustannusarvio|Rakennusselostus'!N165</f>
        <v>0</v>
      </c>
      <c r="D164" s="218">
        <f>'Kustannusarvio|Rakennusselostus'!O165</f>
        <v>0</v>
      </c>
      <c r="E164" s="219">
        <f t="shared" si="3"/>
        <v>0</v>
      </c>
      <c r="F164" s="220">
        <f>'Kustannusarvio|Rakennusselostus'!Q165</f>
        <v>0</v>
      </c>
      <c r="G164" s="221">
        <f>'Kustannusarvio|Rakennusselostus'!R165</f>
        <v>0</v>
      </c>
      <c r="H164" s="11"/>
    </row>
    <row r="165" spans="1:8" x14ac:dyDescent="0.35">
      <c r="A165" s="12"/>
      <c r="B165" s="174" t="s">
        <v>113</v>
      </c>
      <c r="C165" s="218">
        <f>'Kustannusarvio|Rakennusselostus'!N166</f>
        <v>0</v>
      </c>
      <c r="D165" s="218">
        <f>'Kustannusarvio|Rakennusselostus'!O166</f>
        <v>0</v>
      </c>
      <c r="E165" s="219">
        <f t="shared" si="3"/>
        <v>0</v>
      </c>
      <c r="F165" s="220">
        <f>'Kustannusarvio|Rakennusselostus'!Q166</f>
        <v>0</v>
      </c>
      <c r="G165" s="221">
        <f>'Kustannusarvio|Rakennusselostus'!R166</f>
        <v>0</v>
      </c>
      <c r="H165" s="11"/>
    </row>
    <row r="166" spans="1:8" x14ac:dyDescent="0.35">
      <c r="A166" s="12"/>
      <c r="B166" s="188" t="str">
        <f>SUBSTITUTE(IF('Kustannusarvio|Rakennusselostus'!C167="",'Kustannusarvio|Rakennusselostus'!B167,'Kustannusarvio|Rakennusselostus'!C167),":","")</f>
        <v>Muu energiakorjaus</v>
      </c>
      <c r="C166" s="218">
        <f>'Kustannusarvio|Rakennusselostus'!N167</f>
        <v>0</v>
      </c>
      <c r="D166" s="218">
        <f>'Kustannusarvio|Rakennusselostus'!O167</f>
        <v>0</v>
      </c>
      <c r="E166" s="219">
        <f t="shared" ref="E166:E178" si="4">C166*20+D166*60</f>
        <v>0</v>
      </c>
      <c r="F166" s="220">
        <f>'Kustannusarvio|Rakennusselostus'!Q167</f>
        <v>0</v>
      </c>
      <c r="G166" s="221">
        <f>'Kustannusarvio|Rakennusselostus'!R167</f>
        <v>0</v>
      </c>
      <c r="H166" s="11"/>
    </row>
    <row r="167" spans="1:8" x14ac:dyDescent="0.35">
      <c r="A167" s="44" t="s">
        <v>171</v>
      </c>
      <c r="B167" s="304"/>
      <c r="C167" s="86"/>
      <c r="D167" s="86"/>
      <c r="E167" s="86"/>
      <c r="F167" s="87"/>
      <c r="G167" s="259"/>
      <c r="H167" s="11"/>
    </row>
    <row r="168" spans="1:8" x14ac:dyDescent="0.35">
      <c r="A168" s="12"/>
      <c r="B168" s="174" t="s">
        <v>172</v>
      </c>
      <c r="C168" s="267">
        <f>'Kustannusarvio|Rakennusselostus'!N169</f>
        <v>0</v>
      </c>
      <c r="D168" s="267">
        <f>'Kustannusarvio|Rakennusselostus'!O169</f>
        <v>0</v>
      </c>
      <c r="E168" s="219">
        <f t="shared" si="4"/>
        <v>0</v>
      </c>
      <c r="F168" s="268">
        <f>'Kustannusarvio|Rakennusselostus'!Q169</f>
        <v>0</v>
      </c>
      <c r="G168" s="221">
        <f>'Kustannusarvio|Rakennusselostus'!R169</f>
        <v>0</v>
      </c>
      <c r="H168" s="11"/>
    </row>
    <row r="169" spans="1:8" x14ac:dyDescent="0.35">
      <c r="A169" s="12"/>
      <c r="B169" s="174" t="s">
        <v>174</v>
      </c>
      <c r="C169" s="218">
        <f>'Kustannusarvio|Rakennusselostus'!N170</f>
        <v>0</v>
      </c>
      <c r="D169" s="218">
        <f>'Kustannusarvio|Rakennusselostus'!O170</f>
        <v>0</v>
      </c>
      <c r="E169" s="219">
        <f t="shared" si="4"/>
        <v>0</v>
      </c>
      <c r="F169" s="220">
        <f>'Kustannusarvio|Rakennusselostus'!Q170</f>
        <v>0</v>
      </c>
      <c r="G169" s="221">
        <f>'Kustannusarvio|Rakennusselostus'!R170</f>
        <v>0</v>
      </c>
      <c r="H169" s="11"/>
    </row>
    <row r="170" spans="1:8" x14ac:dyDescent="0.35">
      <c r="A170" s="12"/>
      <c r="B170" s="174" t="s">
        <v>24</v>
      </c>
      <c r="C170" s="218">
        <f>'Kustannusarvio|Rakennusselostus'!N171</f>
        <v>0</v>
      </c>
      <c r="D170" s="218">
        <f>'Kustannusarvio|Rakennusselostus'!O171</f>
        <v>0</v>
      </c>
      <c r="E170" s="219">
        <f t="shared" si="4"/>
        <v>0</v>
      </c>
      <c r="F170" s="220">
        <f>'Kustannusarvio|Rakennusselostus'!Q171</f>
        <v>0</v>
      </c>
      <c r="G170" s="221">
        <f>'Kustannusarvio|Rakennusselostus'!R171</f>
        <v>0</v>
      </c>
      <c r="H170" s="11"/>
    </row>
    <row r="171" spans="1:8" x14ac:dyDescent="0.35">
      <c r="A171" s="12"/>
      <c r="B171" s="174" t="s">
        <v>25</v>
      </c>
      <c r="C171" s="218">
        <f>'Kustannusarvio|Rakennusselostus'!N172</f>
        <v>0</v>
      </c>
      <c r="D171" s="218">
        <f>'Kustannusarvio|Rakennusselostus'!O172</f>
        <v>0</v>
      </c>
      <c r="E171" s="219">
        <f t="shared" si="4"/>
        <v>0</v>
      </c>
      <c r="F171" s="220">
        <f>'Kustannusarvio|Rakennusselostus'!Q172</f>
        <v>0</v>
      </c>
      <c r="G171" s="221">
        <f>'Kustannusarvio|Rakennusselostus'!R172</f>
        <v>0</v>
      </c>
      <c r="H171" s="11"/>
    </row>
    <row r="172" spans="1:8" x14ac:dyDescent="0.35">
      <c r="A172" s="12"/>
      <c r="B172" s="174" t="s">
        <v>173</v>
      </c>
      <c r="C172" s="218">
        <f>'Kustannusarvio|Rakennusselostus'!N173</f>
        <v>0</v>
      </c>
      <c r="D172" s="218">
        <f>'Kustannusarvio|Rakennusselostus'!O173</f>
        <v>0</v>
      </c>
      <c r="E172" s="219">
        <f t="shared" si="4"/>
        <v>0</v>
      </c>
      <c r="F172" s="220">
        <f>'Kustannusarvio|Rakennusselostus'!Q173</f>
        <v>0</v>
      </c>
      <c r="G172" s="221">
        <f>'Kustannusarvio|Rakennusselostus'!R173</f>
        <v>0</v>
      </c>
      <c r="H172" s="11"/>
    </row>
    <row r="173" spans="1:8" x14ac:dyDescent="0.35">
      <c r="A173" s="12"/>
      <c r="B173" s="174" t="s">
        <v>175</v>
      </c>
      <c r="C173" s="218">
        <f>'Kustannusarvio|Rakennusselostus'!N174</f>
        <v>0</v>
      </c>
      <c r="D173" s="218">
        <f>'Kustannusarvio|Rakennusselostus'!O174</f>
        <v>0</v>
      </c>
      <c r="E173" s="219">
        <f t="shared" si="4"/>
        <v>0</v>
      </c>
      <c r="F173" s="220">
        <f>'Kustannusarvio|Rakennusselostus'!Q174</f>
        <v>0</v>
      </c>
      <c r="G173" s="221">
        <f>'Kustannusarvio|Rakennusselostus'!R174</f>
        <v>0</v>
      </c>
      <c r="H173" s="11"/>
    </row>
    <row r="174" spans="1:8" x14ac:dyDescent="0.35">
      <c r="A174" s="12"/>
      <c r="B174" s="174" t="s">
        <v>170</v>
      </c>
      <c r="C174" s="218">
        <f>'Kustannusarvio|Rakennusselostus'!N175</f>
        <v>0</v>
      </c>
      <c r="D174" s="218">
        <f>'Kustannusarvio|Rakennusselostus'!O175</f>
        <v>0</v>
      </c>
      <c r="E174" s="219">
        <f t="shared" si="4"/>
        <v>0</v>
      </c>
      <c r="F174" s="220">
        <f>'Kustannusarvio|Rakennusselostus'!Q175</f>
        <v>0</v>
      </c>
      <c r="G174" s="221">
        <f>'Kustannusarvio|Rakennusselostus'!R175</f>
        <v>0</v>
      </c>
      <c r="H174" s="11"/>
    </row>
    <row r="175" spans="1:8" x14ac:dyDescent="0.35">
      <c r="A175" s="12"/>
      <c r="B175" s="188" t="str">
        <f>SUBSTITUTE(IF('Kustannusarvio|Rakennusselostus'!C176="",'Kustannusarvio|Rakennusselostus'!B176,'Kustannusarvio|Rakennusselostus'!C176),":","")</f>
        <v>Muu tuote tai palvelu</v>
      </c>
      <c r="C175" s="218">
        <f>'Kustannusarvio|Rakennusselostus'!N176</f>
        <v>0</v>
      </c>
      <c r="D175" s="218">
        <f>'Kustannusarvio|Rakennusselostus'!O176</f>
        <v>0</v>
      </c>
      <c r="E175" s="219">
        <f t="shared" si="4"/>
        <v>0</v>
      </c>
      <c r="F175" s="220">
        <f>'Kustannusarvio|Rakennusselostus'!Q176</f>
        <v>0</v>
      </c>
      <c r="G175" s="221">
        <f>'Kustannusarvio|Rakennusselostus'!R176</f>
        <v>0</v>
      </c>
      <c r="H175" s="11"/>
    </row>
    <row r="176" spans="1:8" x14ac:dyDescent="0.35">
      <c r="A176" s="12"/>
      <c r="B176" s="188" t="str">
        <f>SUBSTITUTE(IF('Kustannusarvio|Rakennusselostus'!C177="",'Kustannusarvio|Rakennusselostus'!B177,'Kustannusarvio|Rakennusselostus'!C177),":","")</f>
        <v>Muu tuote tai palvelu</v>
      </c>
      <c r="C176" s="218">
        <f>'Kustannusarvio|Rakennusselostus'!N177</f>
        <v>0</v>
      </c>
      <c r="D176" s="218">
        <f>'Kustannusarvio|Rakennusselostus'!O177</f>
        <v>0</v>
      </c>
      <c r="E176" s="219">
        <f t="shared" si="4"/>
        <v>0</v>
      </c>
      <c r="F176" s="220">
        <f>'Kustannusarvio|Rakennusselostus'!Q177</f>
        <v>0</v>
      </c>
      <c r="G176" s="221">
        <f>'Kustannusarvio|Rakennusselostus'!R177</f>
        <v>0</v>
      </c>
      <c r="H176" s="11"/>
    </row>
    <row r="177" spans="1:8" x14ac:dyDescent="0.35">
      <c r="A177" s="12"/>
      <c r="B177" s="188" t="str">
        <f>SUBSTITUTE(IF('Kustannusarvio|Rakennusselostus'!C178="",'Kustannusarvio|Rakennusselostus'!B178,'Kustannusarvio|Rakennusselostus'!C178),":","")</f>
        <v>Muu tuote tai palvelu</v>
      </c>
      <c r="C177" s="218">
        <f>'Kustannusarvio|Rakennusselostus'!N178</f>
        <v>0</v>
      </c>
      <c r="D177" s="218">
        <f>'Kustannusarvio|Rakennusselostus'!O178</f>
        <v>0</v>
      </c>
      <c r="E177" s="219">
        <f t="shared" si="4"/>
        <v>0</v>
      </c>
      <c r="F177" s="220">
        <f>'Kustannusarvio|Rakennusselostus'!Q178</f>
        <v>0</v>
      </c>
      <c r="G177" s="221">
        <f>'Kustannusarvio|Rakennusselostus'!R178</f>
        <v>0</v>
      </c>
      <c r="H177" s="11"/>
    </row>
    <row r="178" spans="1:8" ht="15" thickBot="1" x14ac:dyDescent="0.4">
      <c r="A178" s="12"/>
      <c r="B178" s="188" t="str">
        <f>SUBSTITUTE(IF('Kustannusarvio|Rakennusselostus'!C179="",'Kustannusarvio|Rakennusselostus'!B179,'Kustannusarvio|Rakennusselostus'!C179),":","")</f>
        <v>Muu tuote tai palvelu</v>
      </c>
      <c r="C178" s="224">
        <f>'Kustannusarvio|Rakennusselostus'!N179</f>
        <v>0</v>
      </c>
      <c r="D178" s="224">
        <f>'Kustannusarvio|Rakennusselostus'!O179</f>
        <v>0</v>
      </c>
      <c r="E178" s="269">
        <f t="shared" si="4"/>
        <v>0</v>
      </c>
      <c r="F178" s="222">
        <f>'Kustannusarvio|Rakennusselostus'!Q179</f>
        <v>0</v>
      </c>
      <c r="G178" s="223">
        <f>'Kustannusarvio|Rakennusselostus'!R179</f>
        <v>0</v>
      </c>
      <c r="H178" s="11"/>
    </row>
    <row r="179" spans="1:8" ht="15" thickTop="1" x14ac:dyDescent="0.35">
      <c r="B179" s="135" t="s">
        <v>233</v>
      </c>
      <c r="C179" s="123">
        <f>SUM(C8:C178)</f>
        <v>0</v>
      </c>
      <c r="D179" s="123">
        <f>SUM(D8:D178)</f>
        <v>0</v>
      </c>
      <c r="E179" s="225">
        <f>SUM(E8:E178)</f>
        <v>0</v>
      </c>
    </row>
    <row r="180" spans="1:8" x14ac:dyDescent="0.35">
      <c r="C180" s="90" t="s">
        <v>234</v>
      </c>
      <c r="D180" s="90" t="s">
        <v>234</v>
      </c>
      <c r="E180" s="90" t="s">
        <v>235</v>
      </c>
    </row>
  </sheetData>
  <sheetProtection algorithmName="SHA-512" hashValue="xD8griexsn4fnCjGv5oAR+jGV7eEUkcVg9n4jrsaPUwZG38yYQqAbVUT+nub/Lf/fcucmHP7JeFyNkL0h3WuMw==" saltValue="/jFoAq6Fo3jEkdwivTsDzA==" spinCount="100000" sheet="1" objects="1" scenarios="1" formatCells="0" selectLockedCells="1"/>
  <dataConsolidate/>
  <mergeCells count="5">
    <mergeCell ref="C1:G1"/>
    <mergeCell ref="C2:G2"/>
    <mergeCell ref="C3:G3"/>
    <mergeCell ref="B5:G5"/>
    <mergeCell ref="C4:G4"/>
  </mergeCells>
  <phoneticPr fontId="26" type="noConversion"/>
  <conditionalFormatting sqref="E8:E128 E130:E138 E140:E143 E146:E157 E159:E166 E168:E178">
    <cfRule type="cellIs" dxfId="0" priority="1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55" fitToHeight="0" orientation="portrait" r:id="rId1"/>
  <headerFooter>
    <oddHeader>&amp;L&amp;G&amp;C&amp;G</oddHeader>
  </headerFooter>
  <rowBreaks count="3" manualBreakCount="3">
    <brk id="46" max="7" man="1"/>
    <brk id="106" max="7" man="1"/>
    <brk id="180" max="7" man="1"/>
  </rowBreaks>
  <colBreaks count="1" manualBreakCount="1">
    <brk id="10" max="150" man="1"/>
  </colBreaks>
  <drawing r:id="rId2"/>
  <legacyDrawing r:id="rId3"/>
  <legacyDrawingHF r:id="rId4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F65CAC-1AFE-460B-A825-9C84BF934D7F}">
  <sheetPr>
    <tabColor rgb="FFFFFF00"/>
  </sheetPr>
  <dimension ref="A1:T189"/>
  <sheetViews>
    <sheetView showGridLines="0" zoomScale="110" zoomScaleNormal="110" workbookViewId="0">
      <selection activeCell="D17" sqref="D17"/>
    </sheetView>
  </sheetViews>
  <sheetFormatPr defaultRowHeight="14.5" x14ac:dyDescent="0.35"/>
  <cols>
    <col min="1" max="1" width="1.1796875" customWidth="1"/>
    <col min="2" max="2" width="53.7265625" style="88" customWidth="1"/>
    <col min="3" max="3" width="13.81640625" customWidth="1"/>
    <col min="4" max="4" width="119.26953125" customWidth="1"/>
    <col min="5" max="5" width="1" customWidth="1"/>
    <col min="6" max="6" width="9.453125" customWidth="1"/>
    <col min="7" max="7" width="13.54296875" customWidth="1"/>
    <col min="8" max="8" width="1.54296875" customWidth="1"/>
    <col min="9" max="10" width="9.1796875" customWidth="1"/>
    <col min="11" max="11" width="11.81640625" customWidth="1"/>
    <col min="12" max="12" width="34.54296875" customWidth="1"/>
  </cols>
  <sheetData>
    <row r="1" spans="1:20" ht="5.5" customHeight="1" x14ac:dyDescent="0.35">
      <c r="A1" s="11"/>
      <c r="B1" s="92"/>
      <c r="C1" s="11"/>
      <c r="D1" s="11"/>
      <c r="E1" s="11"/>
    </row>
    <row r="2" spans="1:20" ht="19.5" customHeight="1" x14ac:dyDescent="0.35">
      <c r="A2" s="11"/>
      <c r="B2" s="305"/>
      <c r="C2" s="336" t="s">
        <v>224</v>
      </c>
      <c r="D2" s="336"/>
      <c r="E2" s="11"/>
    </row>
    <row r="3" spans="1:20" s="24" customFormat="1" ht="15" customHeight="1" x14ac:dyDescent="0.3">
      <c r="A3" s="22"/>
      <c r="B3" s="306" t="s">
        <v>2</v>
      </c>
      <c r="C3" s="338">
        <f>'Hankkeen tiedot'!D5</f>
        <v>0</v>
      </c>
      <c r="D3" s="338"/>
      <c r="E3" s="22"/>
    </row>
    <row r="4" spans="1:20" s="24" customFormat="1" ht="13" x14ac:dyDescent="0.3">
      <c r="A4" s="22"/>
      <c r="B4" s="306" t="s">
        <v>0</v>
      </c>
      <c r="C4" s="338">
        <f>'Hankkeen tiedot'!D6</f>
        <v>0</v>
      </c>
      <c r="D4" s="338"/>
      <c r="E4" s="22"/>
    </row>
    <row r="5" spans="1:20" s="24" customFormat="1" ht="13" customHeight="1" x14ac:dyDescent="0.3">
      <c r="A5" s="22"/>
      <c r="B5" s="306" t="s">
        <v>1</v>
      </c>
      <c r="C5" s="338">
        <f>'Hankkeen tiedot'!D7</f>
        <v>0</v>
      </c>
      <c r="D5" s="338"/>
      <c r="E5" s="22"/>
    </row>
    <row r="6" spans="1:20" s="24" customFormat="1" ht="13" x14ac:dyDescent="0.3">
      <c r="A6" s="22"/>
      <c r="B6" s="306" t="s">
        <v>221</v>
      </c>
      <c r="C6" s="338">
        <f>'Hankkeen tiedot'!D8</f>
        <v>0</v>
      </c>
      <c r="D6" s="338"/>
      <c r="E6" s="22"/>
    </row>
    <row r="7" spans="1:20" s="24" customFormat="1" ht="13" x14ac:dyDescent="0.3">
      <c r="A7" s="22"/>
      <c r="B7" s="306" t="s">
        <v>225</v>
      </c>
      <c r="C7" s="338">
        <f>'Hankkeen tiedot'!D9</f>
        <v>0</v>
      </c>
      <c r="D7" s="338"/>
      <c r="E7" s="22"/>
    </row>
    <row r="8" spans="1:20" s="24" customFormat="1" ht="13" x14ac:dyDescent="0.3">
      <c r="A8" s="22"/>
      <c r="B8" s="306" t="s">
        <v>3</v>
      </c>
      <c r="C8" s="339">
        <f>'Hankkeen tiedot'!D10</f>
        <v>0</v>
      </c>
      <c r="D8" s="339"/>
      <c r="E8" s="22"/>
    </row>
    <row r="9" spans="1:20" x14ac:dyDescent="0.35">
      <c r="A9" s="11"/>
      <c r="B9" s="131" t="s">
        <v>226</v>
      </c>
      <c r="C9" s="337">
        <f>'Hankkeen tiedot'!D19</f>
        <v>0</v>
      </c>
      <c r="D9" s="337"/>
      <c r="E9" s="11"/>
    </row>
    <row r="10" spans="1:20" x14ac:dyDescent="0.35">
      <c r="A10" s="11"/>
      <c r="B10" s="131" t="s">
        <v>227</v>
      </c>
      <c r="C10" s="337">
        <f>'Hankkeen tiedot'!D20</f>
        <v>0</v>
      </c>
      <c r="D10" s="337"/>
      <c r="E10" s="11"/>
    </row>
    <row r="11" spans="1:20" s="24" customFormat="1" ht="13" x14ac:dyDescent="0.3">
      <c r="A11" s="61"/>
      <c r="B11" s="131" t="s">
        <v>228</v>
      </c>
      <c r="C11" s="337">
        <f>'Hankkeen tiedot'!D21</f>
        <v>0</v>
      </c>
      <c r="D11" s="337"/>
      <c r="E11" s="22"/>
      <c r="F11" s="17"/>
      <c r="G11" s="17"/>
      <c r="H11" s="17"/>
      <c r="I11" s="17"/>
      <c r="J11" s="21"/>
      <c r="K11" s="21"/>
      <c r="L11" s="23"/>
      <c r="N11" s="21"/>
      <c r="O11" s="21"/>
      <c r="P11" s="21"/>
      <c r="Q11" s="21"/>
      <c r="R11" s="21"/>
      <c r="S11" s="21"/>
      <c r="T11" s="21"/>
    </row>
    <row r="12" spans="1:20" s="24" customFormat="1" ht="12" customHeight="1" x14ac:dyDescent="0.3">
      <c r="A12" s="61"/>
      <c r="B12" s="131" t="s">
        <v>229</v>
      </c>
      <c r="C12" s="337">
        <f>'Hankkeen tiedot'!D22</f>
        <v>0</v>
      </c>
      <c r="D12" s="337"/>
      <c r="E12" s="22"/>
      <c r="F12" s="17"/>
      <c r="H12" s="17"/>
      <c r="J12" s="21"/>
      <c r="K12" s="21"/>
      <c r="L12" s="23"/>
      <c r="N12" s="21"/>
      <c r="O12" s="21"/>
      <c r="P12" s="21"/>
      <c r="Q12" s="21"/>
      <c r="R12" s="21"/>
      <c r="S12" s="21"/>
      <c r="T12" s="21"/>
    </row>
    <row r="13" spans="1:20" s="24" customFormat="1" ht="7" customHeight="1" x14ac:dyDescent="0.3">
      <c r="A13" s="61"/>
      <c r="B13" s="96"/>
      <c r="D13" s="62"/>
      <c r="E13" s="22"/>
      <c r="F13" s="17"/>
      <c r="H13" s="17"/>
      <c r="J13" s="21"/>
      <c r="K13" s="21"/>
      <c r="L13" s="23"/>
      <c r="N13" s="21"/>
      <c r="O13" s="21"/>
      <c r="P13" s="21"/>
      <c r="Q13" s="21"/>
      <c r="R13" s="21"/>
      <c r="S13" s="21"/>
      <c r="T13" s="21"/>
    </row>
    <row r="14" spans="1:20" s="24" customFormat="1" ht="30.65" customHeight="1" x14ac:dyDescent="0.3">
      <c r="A14" s="61"/>
      <c r="B14" s="96"/>
      <c r="C14" s="63" t="s">
        <v>38</v>
      </c>
      <c r="D14" s="64" t="s">
        <v>98</v>
      </c>
      <c r="E14" s="22"/>
      <c r="F14" s="17"/>
      <c r="H14" s="17"/>
      <c r="J14" s="21"/>
      <c r="K14" s="21"/>
      <c r="L14" s="23"/>
      <c r="N14" s="21"/>
      <c r="O14" s="21"/>
      <c r="P14" s="21"/>
      <c r="Q14" s="21"/>
      <c r="R14" s="21"/>
      <c r="S14" s="21"/>
      <c r="T14" s="21"/>
    </row>
    <row r="15" spans="1:20" s="24" customFormat="1" ht="5.5" customHeight="1" x14ac:dyDescent="0.3">
      <c r="A15" s="61"/>
      <c r="B15" s="65"/>
      <c r="C15" s="66"/>
      <c r="D15" s="66"/>
      <c r="E15" s="22"/>
      <c r="F15" s="17"/>
      <c r="H15" s="17"/>
      <c r="J15" s="21"/>
      <c r="K15" s="21"/>
      <c r="L15" s="23"/>
      <c r="N15" s="21"/>
      <c r="O15" s="21"/>
      <c r="P15" s="21"/>
      <c r="Q15" s="21"/>
      <c r="R15" s="21"/>
      <c r="S15" s="21"/>
      <c r="T15" s="21"/>
    </row>
    <row r="16" spans="1:20" x14ac:dyDescent="0.35">
      <c r="A16" s="44" t="s">
        <v>163</v>
      </c>
      <c r="B16" s="51"/>
      <c r="C16" s="295"/>
      <c r="D16" s="294"/>
      <c r="E16" s="22"/>
    </row>
    <row r="17" spans="1:5" x14ac:dyDescent="0.35">
      <c r="A17" s="12"/>
      <c r="B17" s="60" t="s">
        <v>164</v>
      </c>
      <c r="C17" s="277">
        <f>'Kustannusarvio|Rakennusselostus'!L8+'Kustannusarvio|Rakennusselostus'!P8</f>
        <v>0</v>
      </c>
      <c r="D17" s="276" t="str">
        <f>'Kustannusarvio|Rakennusselostus'!T8</f>
        <v>Ei toimenpiteitä</v>
      </c>
      <c r="E17" s="22"/>
    </row>
    <row r="18" spans="1:5" x14ac:dyDescent="0.35">
      <c r="A18" s="12"/>
      <c r="B18" s="60" t="s">
        <v>165</v>
      </c>
      <c r="C18" s="277">
        <f>'Kustannusarvio|Rakennusselostus'!L9+'Kustannusarvio|Rakennusselostus'!P9</f>
        <v>0</v>
      </c>
      <c r="D18" s="276" t="str">
        <f>'Kustannusarvio|Rakennusselostus'!T9</f>
        <v>Ei toimenpiteitä</v>
      </c>
      <c r="E18" s="22"/>
    </row>
    <row r="19" spans="1:5" x14ac:dyDescent="0.35">
      <c r="A19" s="12"/>
      <c r="B19" s="60" t="s">
        <v>166</v>
      </c>
      <c r="C19" s="277">
        <f>'Kustannusarvio|Rakennusselostus'!L10+'Kustannusarvio|Rakennusselostus'!P10</f>
        <v>0</v>
      </c>
      <c r="D19" s="276" t="str">
        <f>'Kustannusarvio|Rakennusselostus'!T10</f>
        <v>Ei toimenpiteitä</v>
      </c>
      <c r="E19" s="22"/>
    </row>
    <row r="20" spans="1:5" x14ac:dyDescent="0.35">
      <c r="A20" s="12"/>
      <c r="B20" s="60" t="s">
        <v>247</v>
      </c>
      <c r="C20" s="277">
        <f>'Kustannusarvio|Rakennusselostus'!L11+'Kustannusarvio|Rakennusselostus'!P11</f>
        <v>0</v>
      </c>
      <c r="D20" s="276" t="str">
        <f>'Kustannusarvio|Rakennusselostus'!T11</f>
        <v>Ei toimenpiteitä</v>
      </c>
      <c r="E20" s="22"/>
    </row>
    <row r="21" spans="1:5" x14ac:dyDescent="0.35">
      <c r="A21" s="12"/>
      <c r="B21" s="60" t="s">
        <v>167</v>
      </c>
      <c r="C21" s="277">
        <f>'Kustannusarvio|Rakennusselostus'!L12+'Kustannusarvio|Rakennusselostus'!P12</f>
        <v>0</v>
      </c>
      <c r="D21" s="276" t="str">
        <f>'Kustannusarvio|Rakennusselostus'!T12</f>
        <v>Ei toimenpiteitä</v>
      </c>
      <c r="E21" s="22"/>
    </row>
    <row r="22" spans="1:5" x14ac:dyDescent="0.35">
      <c r="A22" s="12"/>
      <c r="B22" s="49" t="s">
        <v>26</v>
      </c>
      <c r="C22" s="277">
        <f>'Kustannusarvio|Rakennusselostus'!L13+'Kustannusarvio|Rakennusselostus'!P13</f>
        <v>0</v>
      </c>
      <c r="D22" s="276" t="str">
        <f>'Kustannusarvio|Rakennusselostus'!T13</f>
        <v>Ei toimenpiteitä</v>
      </c>
      <c r="E22" s="22"/>
    </row>
    <row r="23" spans="1:5" x14ac:dyDescent="0.35">
      <c r="A23" s="12"/>
      <c r="B23" s="49" t="s">
        <v>27</v>
      </c>
      <c r="C23" s="277">
        <f>'Kustannusarvio|Rakennusselostus'!L14+'Kustannusarvio|Rakennusselostus'!P14</f>
        <v>0</v>
      </c>
      <c r="D23" s="276" t="str">
        <f>'Kustannusarvio|Rakennusselostus'!T14</f>
        <v>Ei toimenpiteitä</v>
      </c>
      <c r="E23" s="22"/>
    </row>
    <row r="24" spans="1:5" x14ac:dyDescent="0.35">
      <c r="A24" s="12"/>
      <c r="B24" s="49" t="s">
        <v>28</v>
      </c>
      <c r="C24" s="277">
        <f>'Kustannusarvio|Rakennusselostus'!L15+'Kustannusarvio|Rakennusselostus'!P15</f>
        <v>0</v>
      </c>
      <c r="D24" s="276" t="str">
        <f>'Kustannusarvio|Rakennusselostus'!T15</f>
        <v>Ei toimenpiteitä</v>
      </c>
      <c r="E24" s="22"/>
    </row>
    <row r="25" spans="1:5" x14ac:dyDescent="0.35">
      <c r="A25" s="12"/>
      <c r="B25" s="49" t="s">
        <v>169</v>
      </c>
      <c r="C25" s="277">
        <f>'Kustannusarvio|Rakennusselostus'!L16+'Kustannusarvio|Rakennusselostus'!P16</f>
        <v>0</v>
      </c>
      <c r="D25" s="276" t="str">
        <f>'Kustannusarvio|Rakennusselostus'!T16</f>
        <v>Ei toimenpiteitä</v>
      </c>
      <c r="E25" s="22"/>
    </row>
    <row r="26" spans="1:5" x14ac:dyDescent="0.35">
      <c r="A26" s="12"/>
      <c r="B26" s="49" t="s">
        <v>245</v>
      </c>
      <c r="C26" s="277">
        <f>'Kustannusarvio|Rakennusselostus'!L17+'Kustannusarvio|Rakennusselostus'!P17</f>
        <v>0</v>
      </c>
      <c r="D26" s="276" t="str">
        <f>'Kustannusarvio|Rakennusselostus'!T17</f>
        <v>Ei toimenpiteitä</v>
      </c>
      <c r="E26" s="22"/>
    </row>
    <row r="27" spans="1:5" x14ac:dyDescent="0.35">
      <c r="A27" s="12"/>
      <c r="B27" s="89" t="str">
        <f>SUBSTITUTE(IF('Kustannusarvio|Rakennusselostus'!C18="",'Kustannusarvio|Rakennusselostus'!B18,'Kustannusarvio|Rakennusselostus'!C18),":","")</f>
        <v>Muu maksu</v>
      </c>
      <c r="C27" s="277">
        <f>'Kustannusarvio|Rakennusselostus'!L18+'Kustannusarvio|Rakennusselostus'!P18</f>
        <v>0</v>
      </c>
      <c r="D27" s="276" t="str">
        <f>'Kustannusarvio|Rakennusselostus'!T18</f>
        <v>Ei toimenpiteitä</v>
      </c>
      <c r="E27" s="22"/>
    </row>
    <row r="28" spans="1:5" x14ac:dyDescent="0.35">
      <c r="A28" s="12"/>
      <c r="B28" s="89" t="str">
        <f>SUBSTITUTE(IF('Kustannusarvio|Rakennusselostus'!C19="",'Kustannusarvio|Rakennusselostus'!B19,'Kustannusarvio|Rakennusselostus'!C19),":","")</f>
        <v>Muu maksu</v>
      </c>
      <c r="C28" s="277">
        <f>'Kustannusarvio|Rakennusselostus'!L19+'Kustannusarvio|Rakennusselostus'!P19</f>
        <v>0</v>
      </c>
      <c r="D28" s="276" t="str">
        <f>'Kustannusarvio|Rakennusselostus'!T19</f>
        <v>Ei toimenpiteitä</v>
      </c>
      <c r="E28" s="22"/>
    </row>
    <row r="29" spans="1:5" x14ac:dyDescent="0.35">
      <c r="A29" s="44" t="s">
        <v>168</v>
      </c>
      <c r="B29" s="51"/>
      <c r="C29" s="46"/>
      <c r="D29" s="149"/>
      <c r="E29" s="22"/>
    </row>
    <row r="30" spans="1:5" x14ac:dyDescent="0.35">
      <c r="A30" s="10" t="s">
        <v>200</v>
      </c>
      <c r="B30" s="30"/>
      <c r="C30" s="297"/>
      <c r="D30" s="296"/>
      <c r="E30" s="22"/>
    </row>
    <row r="31" spans="1:5" x14ac:dyDescent="0.35">
      <c r="A31" s="11"/>
      <c r="B31" s="49" t="s">
        <v>201</v>
      </c>
      <c r="C31" s="277">
        <f>'Kustannusarvio|Rakennusselostus'!L22+'Kustannusarvio|Rakennusselostus'!P22</f>
        <v>0</v>
      </c>
      <c r="D31" s="276" t="str">
        <f>'Kustannusarvio|Rakennusselostus'!T22</f>
        <v>Ei toimenpiteitä</v>
      </c>
      <c r="E31" s="22"/>
    </row>
    <row r="32" spans="1:5" x14ac:dyDescent="0.35">
      <c r="A32" s="11"/>
      <c r="B32" s="49" t="s">
        <v>202</v>
      </c>
      <c r="C32" s="277">
        <f>'Kustannusarvio|Rakennusselostus'!L23+'Kustannusarvio|Rakennusselostus'!P23</f>
        <v>0</v>
      </c>
      <c r="D32" s="276" t="str">
        <f>'Kustannusarvio|Rakennusselostus'!T23</f>
        <v>Ei toimenpiteitä</v>
      </c>
      <c r="E32" s="22"/>
    </row>
    <row r="33" spans="1:5" x14ac:dyDescent="0.35">
      <c r="A33" s="11"/>
      <c r="B33" s="49" t="s">
        <v>203</v>
      </c>
      <c r="C33" s="277">
        <f>'Kustannusarvio|Rakennusselostus'!L24+'Kustannusarvio|Rakennusselostus'!P24</f>
        <v>0</v>
      </c>
      <c r="D33" s="276" t="str">
        <f>'Kustannusarvio|Rakennusselostus'!T24</f>
        <v>Ei toimenpiteitä</v>
      </c>
      <c r="E33" s="22"/>
    </row>
    <row r="34" spans="1:5" x14ac:dyDescent="0.35">
      <c r="A34" s="11"/>
      <c r="B34" s="60" t="s">
        <v>204</v>
      </c>
      <c r="C34" s="277">
        <f>'Kustannusarvio|Rakennusselostus'!L25+'Kustannusarvio|Rakennusselostus'!P25</f>
        <v>0</v>
      </c>
      <c r="D34" s="276" t="str">
        <f>'Kustannusarvio|Rakennusselostus'!T25</f>
        <v>Ei toimenpiteitä</v>
      </c>
      <c r="E34" s="22"/>
    </row>
    <row r="35" spans="1:5" x14ac:dyDescent="0.35">
      <c r="A35" s="11"/>
      <c r="B35" s="59" t="s">
        <v>205</v>
      </c>
      <c r="C35" s="277">
        <f>'Kustannusarvio|Rakennusselostus'!L26+'Kustannusarvio|Rakennusselostus'!P26</f>
        <v>0</v>
      </c>
      <c r="D35" s="276" t="str">
        <f>'Kustannusarvio|Rakennusselostus'!T26</f>
        <v>Ei toimenpiteitä</v>
      </c>
      <c r="E35" s="22"/>
    </row>
    <row r="36" spans="1:5" x14ac:dyDescent="0.35">
      <c r="A36" s="11"/>
      <c r="B36" s="59" t="s">
        <v>206</v>
      </c>
      <c r="C36" s="277">
        <f>'Kustannusarvio|Rakennusselostus'!L27+'Kustannusarvio|Rakennusselostus'!P27</f>
        <v>0</v>
      </c>
      <c r="D36" s="276" t="str">
        <f>'Kustannusarvio|Rakennusselostus'!T27</f>
        <v>Ei toimenpiteitä</v>
      </c>
      <c r="E36" s="22"/>
    </row>
    <row r="37" spans="1:5" x14ac:dyDescent="0.35">
      <c r="A37" s="11"/>
      <c r="B37" s="59" t="s">
        <v>207</v>
      </c>
      <c r="C37" s="277">
        <f>'Kustannusarvio|Rakennusselostus'!L28+'Kustannusarvio|Rakennusselostus'!P28</f>
        <v>0</v>
      </c>
      <c r="D37" s="276" t="str">
        <f>'Kustannusarvio|Rakennusselostus'!T28</f>
        <v>Ei toimenpiteitä</v>
      </c>
      <c r="E37" s="22"/>
    </row>
    <row r="38" spans="1:5" x14ac:dyDescent="0.35">
      <c r="A38" s="11"/>
      <c r="B38" s="2" t="s">
        <v>208</v>
      </c>
      <c r="C38" s="277">
        <f>'Kustannusarvio|Rakennusselostus'!L29+'Kustannusarvio|Rakennusselostus'!P29</f>
        <v>0</v>
      </c>
      <c r="D38" s="276" t="str">
        <f>'Kustannusarvio|Rakennusselostus'!T29</f>
        <v>Ei toimenpiteitä</v>
      </c>
      <c r="E38" s="22"/>
    </row>
    <row r="39" spans="1:5" x14ac:dyDescent="0.35">
      <c r="A39" s="11"/>
      <c r="B39" s="60" t="s">
        <v>209</v>
      </c>
      <c r="C39" s="277">
        <f>'Kustannusarvio|Rakennusselostus'!L30+'Kustannusarvio|Rakennusselostus'!P30</f>
        <v>0</v>
      </c>
      <c r="D39" s="276" t="str">
        <f>'Kustannusarvio|Rakennusselostus'!T30</f>
        <v>Ei toimenpiteitä</v>
      </c>
      <c r="E39" s="22"/>
    </row>
    <row r="40" spans="1:5" x14ac:dyDescent="0.35">
      <c r="A40" s="11"/>
      <c r="B40" s="60" t="s">
        <v>210</v>
      </c>
      <c r="C40" s="277">
        <f>'Kustannusarvio|Rakennusselostus'!L31+'Kustannusarvio|Rakennusselostus'!P31</f>
        <v>0</v>
      </c>
      <c r="D40" s="276" t="str">
        <f>'Kustannusarvio|Rakennusselostus'!T31</f>
        <v>Ei toimenpiteitä</v>
      </c>
      <c r="E40" s="22"/>
    </row>
    <row r="41" spans="1:5" x14ac:dyDescent="0.35">
      <c r="A41" s="11"/>
      <c r="B41" s="60" t="s">
        <v>211</v>
      </c>
      <c r="C41" s="277">
        <f>'Kustannusarvio|Rakennusselostus'!L32+'Kustannusarvio|Rakennusselostus'!P32</f>
        <v>0</v>
      </c>
      <c r="D41" s="276" t="str">
        <f>'Kustannusarvio|Rakennusselostus'!T32</f>
        <v>Ei toimenpiteitä</v>
      </c>
      <c r="E41" s="22"/>
    </row>
    <row r="42" spans="1:5" x14ac:dyDescent="0.35">
      <c r="A42" s="11"/>
      <c r="B42" s="60" t="s">
        <v>212</v>
      </c>
      <c r="C42" s="277">
        <f>'Kustannusarvio|Rakennusselostus'!L33+'Kustannusarvio|Rakennusselostus'!P33</f>
        <v>0</v>
      </c>
      <c r="D42" s="276" t="str">
        <f>'Kustannusarvio|Rakennusselostus'!T33</f>
        <v>Ei toimenpiteitä</v>
      </c>
      <c r="E42" s="22"/>
    </row>
    <row r="43" spans="1:5" x14ac:dyDescent="0.35">
      <c r="A43" s="11"/>
      <c r="B43" s="60" t="s">
        <v>213</v>
      </c>
      <c r="C43" s="277">
        <f>'Kustannusarvio|Rakennusselostus'!L34+'Kustannusarvio|Rakennusselostus'!P34</f>
        <v>0</v>
      </c>
      <c r="D43" s="276" t="str">
        <f>'Kustannusarvio|Rakennusselostus'!T34</f>
        <v>Ei toimenpiteitä</v>
      </c>
      <c r="E43" s="22"/>
    </row>
    <row r="44" spans="1:5" x14ac:dyDescent="0.35">
      <c r="A44" s="11"/>
      <c r="B44" s="60" t="s">
        <v>214</v>
      </c>
      <c r="C44" s="277">
        <f>'Kustannusarvio|Rakennusselostus'!L35+'Kustannusarvio|Rakennusselostus'!P35</f>
        <v>0</v>
      </c>
      <c r="D44" s="276" t="str">
        <f>'Kustannusarvio|Rakennusselostus'!T35</f>
        <v>Ei toimenpiteitä</v>
      </c>
      <c r="E44" s="22"/>
    </row>
    <row r="45" spans="1:5" x14ac:dyDescent="0.35">
      <c r="A45" s="11"/>
      <c r="B45" s="60" t="s">
        <v>215</v>
      </c>
      <c r="C45" s="277">
        <f>'Kustannusarvio|Rakennusselostus'!L36+'Kustannusarvio|Rakennusselostus'!P36</f>
        <v>0</v>
      </c>
      <c r="D45" s="276" t="str">
        <f>'Kustannusarvio|Rakennusselostus'!T36</f>
        <v>Ei toimenpiteitä</v>
      </c>
      <c r="E45" s="22"/>
    </row>
    <row r="46" spans="1:5" x14ac:dyDescent="0.35">
      <c r="A46" s="11"/>
      <c r="B46" s="60" t="s">
        <v>216</v>
      </c>
      <c r="C46" s="277">
        <f>'Kustannusarvio|Rakennusselostus'!L37+'Kustannusarvio|Rakennusselostus'!P37</f>
        <v>0</v>
      </c>
      <c r="D46" s="276" t="str">
        <f>'Kustannusarvio|Rakennusselostus'!T37</f>
        <v>Ei toimenpiteitä</v>
      </c>
      <c r="E46" s="22"/>
    </row>
    <row r="47" spans="1:5" x14ac:dyDescent="0.35">
      <c r="A47" s="11"/>
      <c r="B47" s="89" t="str">
        <f>SUBSTITUTE(IF('Kustannusarvio|Rakennusselostus'!C38="",'Kustannusarvio|Rakennusselostus'!B38,'Kustannusarvio|Rakennusselostus'!C38),":","")</f>
        <v>Muu rakennusosa</v>
      </c>
      <c r="C47" s="277">
        <f>'Kustannusarvio|Rakennusselostus'!L38+'Kustannusarvio|Rakennusselostus'!P38</f>
        <v>0</v>
      </c>
      <c r="D47" s="276" t="str">
        <f>'Kustannusarvio|Rakennusselostus'!T38</f>
        <v>Ei toimenpiteitä</v>
      </c>
      <c r="E47" s="22"/>
    </row>
    <row r="48" spans="1:5" x14ac:dyDescent="0.35">
      <c r="A48" s="11"/>
      <c r="B48" s="89" t="str">
        <f>SUBSTITUTE(IF('Kustannusarvio|Rakennusselostus'!C39="",'Kustannusarvio|Rakennusselostus'!B39,'Kustannusarvio|Rakennusselostus'!C39),":","")</f>
        <v>Muu rakennusosa</v>
      </c>
      <c r="C48" s="277">
        <f>'Kustannusarvio|Rakennusselostus'!L39+'Kustannusarvio|Rakennusselostus'!P39</f>
        <v>0</v>
      </c>
      <c r="D48" s="276" t="str">
        <f>'Kustannusarvio|Rakennusselostus'!T39</f>
        <v>Ei toimenpiteitä</v>
      </c>
      <c r="E48" s="22"/>
    </row>
    <row r="49" spans="1:5" x14ac:dyDescent="0.35">
      <c r="A49" s="11"/>
      <c r="B49" s="89" t="str">
        <f>SUBSTITUTE(IF('Kustannusarvio|Rakennusselostus'!C40="",'Kustannusarvio|Rakennusselostus'!B40,'Kustannusarvio|Rakennusselostus'!C40),":","")</f>
        <v>Muu rakennusosa</v>
      </c>
      <c r="C49" s="277">
        <f>'Kustannusarvio|Rakennusselostus'!L40+'Kustannusarvio|Rakennusselostus'!P40</f>
        <v>0</v>
      </c>
      <c r="D49" s="276" t="str">
        <f>'Kustannusarvio|Rakennusselostus'!T40</f>
        <v>Ei toimenpiteitä</v>
      </c>
      <c r="E49" s="22"/>
    </row>
    <row r="50" spans="1:5" x14ac:dyDescent="0.35">
      <c r="A50" s="44" t="s">
        <v>198</v>
      </c>
      <c r="B50" s="51"/>
      <c r="C50" s="46"/>
      <c r="D50" s="149"/>
      <c r="E50" s="22"/>
    </row>
    <row r="51" spans="1:5" x14ac:dyDescent="0.35">
      <c r="A51" s="10" t="s">
        <v>40</v>
      </c>
      <c r="B51" s="30"/>
      <c r="C51" s="297"/>
      <c r="D51" s="296"/>
      <c r="E51" s="22"/>
    </row>
    <row r="52" spans="1:5" x14ac:dyDescent="0.35">
      <c r="A52" s="11"/>
      <c r="B52" s="2" t="s">
        <v>41</v>
      </c>
      <c r="C52" s="277">
        <f>'Kustannusarvio|Rakennusselostus'!L43+'Kustannusarvio|Rakennusselostus'!P43</f>
        <v>0</v>
      </c>
      <c r="D52" s="276" t="str">
        <f>'Kustannusarvio|Rakennusselostus'!T43</f>
        <v>Ei toimenpiteitä</v>
      </c>
      <c r="E52" s="22"/>
    </row>
    <row r="53" spans="1:5" x14ac:dyDescent="0.35">
      <c r="A53" s="11"/>
      <c r="B53" s="2" t="s">
        <v>43</v>
      </c>
      <c r="C53" s="277">
        <f>'Kustannusarvio|Rakennusselostus'!L44+'Kustannusarvio|Rakennusselostus'!P44</f>
        <v>0</v>
      </c>
      <c r="D53" s="276" t="str">
        <f>'Kustannusarvio|Rakennusselostus'!T44</f>
        <v>Ei toimenpiteitä</v>
      </c>
      <c r="E53" s="22"/>
    </row>
    <row r="54" spans="1:5" x14ac:dyDescent="0.35">
      <c r="A54" s="11"/>
      <c r="B54" s="2" t="s">
        <v>42</v>
      </c>
      <c r="C54" s="277">
        <f>'Kustannusarvio|Rakennusselostus'!L45+'Kustannusarvio|Rakennusselostus'!P45</f>
        <v>0</v>
      </c>
      <c r="D54" s="276" t="str">
        <f>'Kustannusarvio|Rakennusselostus'!T45</f>
        <v>Ei toimenpiteitä</v>
      </c>
      <c r="E54" s="22"/>
    </row>
    <row r="55" spans="1:5" x14ac:dyDescent="0.35">
      <c r="A55" s="11"/>
      <c r="B55" s="2" t="s">
        <v>19</v>
      </c>
      <c r="C55" s="277">
        <f>'Kustannusarvio|Rakennusselostus'!L46+'Kustannusarvio|Rakennusselostus'!P46</f>
        <v>0</v>
      </c>
      <c r="D55" s="276" t="str">
        <f>'Kustannusarvio|Rakennusselostus'!T46</f>
        <v>Ei toimenpiteitä</v>
      </c>
      <c r="E55" s="22"/>
    </row>
    <row r="56" spans="1:5" x14ac:dyDescent="0.35">
      <c r="A56" s="11"/>
      <c r="B56" s="2" t="s">
        <v>217</v>
      </c>
      <c r="C56" s="277">
        <f>'Kustannusarvio|Rakennusselostus'!L47+'Kustannusarvio|Rakennusselostus'!P47</f>
        <v>0</v>
      </c>
      <c r="D56" s="276" t="str">
        <f>'Kustannusarvio|Rakennusselostus'!T47</f>
        <v>Ei toimenpiteitä</v>
      </c>
      <c r="E56" s="22"/>
    </row>
    <row r="57" spans="1:5" x14ac:dyDescent="0.35">
      <c r="A57" s="11"/>
      <c r="B57" s="307" t="str">
        <f>SUBSTITUTE(IF('Kustannusarvio|Rakennusselostus'!C48="",'Kustannusarvio|Rakennusselostus'!B48,'Kustannusarvio|Rakennusselostus'!C48),":","")</f>
        <v>Muu korjaus</v>
      </c>
      <c r="C57" s="277">
        <f>'Kustannusarvio|Rakennusselostus'!L48+'Kustannusarvio|Rakennusselostus'!P48</f>
        <v>0</v>
      </c>
      <c r="D57" s="276" t="str">
        <f>'Kustannusarvio|Rakennusselostus'!T48</f>
        <v>Ei toimenpiteitä</v>
      </c>
      <c r="E57" s="22"/>
    </row>
    <row r="58" spans="1:5" x14ac:dyDescent="0.35">
      <c r="A58" s="10" t="s">
        <v>44</v>
      </c>
      <c r="B58" s="30"/>
      <c r="C58" s="297"/>
      <c r="D58" s="296"/>
      <c r="E58" s="22"/>
    </row>
    <row r="59" spans="1:5" x14ac:dyDescent="0.35">
      <c r="A59" s="11"/>
      <c r="B59" s="2" t="s">
        <v>99</v>
      </c>
      <c r="C59" s="277">
        <f>'Kustannusarvio|Rakennusselostus'!L50+'Kustannusarvio|Rakennusselostus'!P50</f>
        <v>0</v>
      </c>
      <c r="D59" s="276" t="str">
        <f>'Kustannusarvio|Rakennusselostus'!T50</f>
        <v>Ei toimenpiteitä</v>
      </c>
      <c r="E59" s="22"/>
    </row>
    <row r="60" spans="1:5" x14ac:dyDescent="0.35">
      <c r="A60" s="11"/>
      <c r="B60" s="2" t="s">
        <v>45</v>
      </c>
      <c r="C60" s="277">
        <f>'Kustannusarvio|Rakennusselostus'!L51+'Kustannusarvio|Rakennusselostus'!P51</f>
        <v>0</v>
      </c>
      <c r="D60" s="276" t="str">
        <f>'Kustannusarvio|Rakennusselostus'!T51</f>
        <v>Ei toimenpiteitä</v>
      </c>
      <c r="E60" s="22"/>
    </row>
    <row r="61" spans="1:5" x14ac:dyDescent="0.35">
      <c r="A61" s="11"/>
      <c r="B61" s="2" t="s">
        <v>47</v>
      </c>
      <c r="C61" s="277">
        <f>'Kustannusarvio|Rakennusselostus'!L52+'Kustannusarvio|Rakennusselostus'!P52</f>
        <v>0</v>
      </c>
      <c r="D61" s="276" t="str">
        <f>'Kustannusarvio|Rakennusselostus'!T52</f>
        <v>Ei toimenpiteitä</v>
      </c>
      <c r="E61" s="22"/>
    </row>
    <row r="62" spans="1:5" x14ac:dyDescent="0.35">
      <c r="A62" s="11"/>
      <c r="B62" s="2" t="s">
        <v>46</v>
      </c>
      <c r="C62" s="277">
        <f>'Kustannusarvio|Rakennusselostus'!L53+'Kustannusarvio|Rakennusselostus'!P53</f>
        <v>0</v>
      </c>
      <c r="D62" s="276" t="str">
        <f>'Kustannusarvio|Rakennusselostus'!T53</f>
        <v>Ei toimenpiteitä</v>
      </c>
      <c r="E62" s="22"/>
    </row>
    <row r="63" spans="1:5" x14ac:dyDescent="0.35">
      <c r="A63" s="11"/>
      <c r="B63" s="2" t="s">
        <v>100</v>
      </c>
      <c r="C63" s="277">
        <f>'Kustannusarvio|Rakennusselostus'!L54+'Kustannusarvio|Rakennusselostus'!P54</f>
        <v>0</v>
      </c>
      <c r="D63" s="276" t="str">
        <f>'Kustannusarvio|Rakennusselostus'!T54</f>
        <v>Ei toimenpiteitä</v>
      </c>
      <c r="E63" s="22"/>
    </row>
    <row r="64" spans="1:5" x14ac:dyDescent="0.35">
      <c r="A64" s="11"/>
      <c r="B64" s="2" t="s">
        <v>48</v>
      </c>
      <c r="C64" s="277">
        <f>'Kustannusarvio|Rakennusselostus'!L55+'Kustannusarvio|Rakennusselostus'!P55</f>
        <v>0</v>
      </c>
      <c r="D64" s="276" t="str">
        <f>'Kustannusarvio|Rakennusselostus'!T55</f>
        <v>Ei toimenpiteitä</v>
      </c>
      <c r="E64" s="22"/>
    </row>
    <row r="65" spans="1:5" x14ac:dyDescent="0.35">
      <c r="A65" s="11"/>
      <c r="B65" s="307" t="str">
        <f>SUBSTITUTE(IF('Kustannusarvio|Rakennusselostus'!C56="",'Kustannusarvio|Rakennusselostus'!B56,'Kustannusarvio|Rakennusselostus'!C56),":","")</f>
        <v>Muu korjaus</v>
      </c>
      <c r="C65" s="277">
        <f>'Kustannusarvio|Rakennusselostus'!L56+'Kustannusarvio|Rakennusselostus'!P56</f>
        <v>0</v>
      </c>
      <c r="D65" s="276" t="str">
        <f>'Kustannusarvio|Rakennusselostus'!T56</f>
        <v>Ei toimenpiteitä</v>
      </c>
      <c r="E65" s="22"/>
    </row>
    <row r="66" spans="1:5" x14ac:dyDescent="0.35">
      <c r="A66" s="10" t="s">
        <v>51</v>
      </c>
      <c r="B66" s="30"/>
      <c r="C66" s="297"/>
      <c r="D66" s="296"/>
      <c r="E66" s="22"/>
    </row>
    <row r="67" spans="1:5" x14ac:dyDescent="0.35">
      <c r="A67" s="11"/>
      <c r="B67" s="2" t="s">
        <v>246</v>
      </c>
      <c r="C67" s="277">
        <f>'Kustannusarvio|Rakennusselostus'!L58+'Kustannusarvio|Rakennusselostus'!P58</f>
        <v>0</v>
      </c>
      <c r="D67" s="276" t="str">
        <f>'Kustannusarvio|Rakennusselostus'!T58</f>
        <v>Ei toimenpiteitä</v>
      </c>
      <c r="E67" s="22"/>
    </row>
    <row r="68" spans="1:5" x14ac:dyDescent="0.35">
      <c r="A68" s="11"/>
      <c r="B68" s="2" t="s">
        <v>49</v>
      </c>
      <c r="C68" s="277">
        <f>'Kustannusarvio|Rakennusselostus'!L59+'Kustannusarvio|Rakennusselostus'!P59</f>
        <v>0</v>
      </c>
      <c r="D68" s="276" t="str">
        <f>'Kustannusarvio|Rakennusselostus'!T59</f>
        <v>Ei toimenpiteitä</v>
      </c>
      <c r="E68" s="22"/>
    </row>
    <row r="69" spans="1:5" x14ac:dyDescent="0.35">
      <c r="A69" s="11"/>
      <c r="B69" s="2" t="s">
        <v>50</v>
      </c>
      <c r="C69" s="277">
        <f>'Kustannusarvio|Rakennusselostus'!L60+'Kustannusarvio|Rakennusselostus'!P60</f>
        <v>0</v>
      </c>
      <c r="D69" s="276" t="str">
        <f>'Kustannusarvio|Rakennusselostus'!T60</f>
        <v>Ei toimenpiteitä</v>
      </c>
      <c r="E69" s="22"/>
    </row>
    <row r="70" spans="1:5" x14ac:dyDescent="0.35">
      <c r="A70" s="11"/>
      <c r="B70" s="2" t="s">
        <v>94</v>
      </c>
      <c r="C70" s="277">
        <f>'Kustannusarvio|Rakennusselostus'!L61+'Kustannusarvio|Rakennusselostus'!P61</f>
        <v>0</v>
      </c>
      <c r="D70" s="276" t="str">
        <f>'Kustannusarvio|Rakennusselostus'!T61</f>
        <v>Ei toimenpiteitä</v>
      </c>
      <c r="E70" s="22"/>
    </row>
    <row r="71" spans="1:5" x14ac:dyDescent="0.35">
      <c r="A71" s="11"/>
      <c r="B71" s="2" t="s">
        <v>118</v>
      </c>
      <c r="C71" s="277">
        <f>'Kustannusarvio|Rakennusselostus'!L62+'Kustannusarvio|Rakennusselostus'!P62</f>
        <v>0</v>
      </c>
      <c r="D71" s="276" t="str">
        <f>'Kustannusarvio|Rakennusselostus'!T62</f>
        <v>Ei toimenpiteitä</v>
      </c>
      <c r="E71" s="22"/>
    </row>
    <row r="72" spans="1:5" x14ac:dyDescent="0.35">
      <c r="A72" s="11"/>
      <c r="B72" s="2" t="s">
        <v>95</v>
      </c>
      <c r="C72" s="277">
        <f>'Kustannusarvio|Rakennusselostus'!L63+'Kustannusarvio|Rakennusselostus'!P63</f>
        <v>0</v>
      </c>
      <c r="D72" s="276" t="str">
        <f>'Kustannusarvio|Rakennusselostus'!T63</f>
        <v>Ei toimenpiteitä</v>
      </c>
      <c r="E72" s="22"/>
    </row>
    <row r="73" spans="1:5" x14ac:dyDescent="0.35">
      <c r="A73" s="11"/>
      <c r="B73" s="2" t="s">
        <v>18</v>
      </c>
      <c r="C73" s="277">
        <f>'Kustannusarvio|Rakennusselostus'!L64+'Kustannusarvio|Rakennusselostus'!P64</f>
        <v>0</v>
      </c>
      <c r="D73" s="276" t="str">
        <f>'Kustannusarvio|Rakennusselostus'!T64</f>
        <v>Ei toimenpiteitä</v>
      </c>
      <c r="E73" s="22"/>
    </row>
    <row r="74" spans="1:5" x14ac:dyDescent="0.35">
      <c r="A74" s="11"/>
      <c r="B74" s="2" t="s">
        <v>52</v>
      </c>
      <c r="C74" s="277">
        <f>'Kustannusarvio|Rakennusselostus'!L65+'Kustannusarvio|Rakennusselostus'!P65</f>
        <v>0</v>
      </c>
      <c r="D74" s="276" t="str">
        <f>'Kustannusarvio|Rakennusselostus'!T65</f>
        <v>Ei toimenpiteitä</v>
      </c>
      <c r="E74" s="22"/>
    </row>
    <row r="75" spans="1:5" x14ac:dyDescent="0.35">
      <c r="A75" s="11"/>
      <c r="B75" s="2" t="s">
        <v>218</v>
      </c>
      <c r="C75" s="277">
        <f>'Kustannusarvio|Rakennusselostus'!L66+'Kustannusarvio|Rakennusselostus'!P66</f>
        <v>0</v>
      </c>
      <c r="D75" s="276" t="str">
        <f>'Kustannusarvio|Rakennusselostus'!T66</f>
        <v>Ei toimenpiteitä</v>
      </c>
      <c r="E75" s="22"/>
    </row>
    <row r="76" spans="1:5" x14ac:dyDescent="0.35">
      <c r="A76" s="11"/>
      <c r="B76" s="2" t="s">
        <v>53</v>
      </c>
      <c r="C76" s="277">
        <f>'Kustannusarvio|Rakennusselostus'!L67+'Kustannusarvio|Rakennusselostus'!P67</f>
        <v>0</v>
      </c>
      <c r="D76" s="276" t="str">
        <f>'Kustannusarvio|Rakennusselostus'!T67</f>
        <v>Ei toimenpiteitä</v>
      </c>
      <c r="E76" s="22"/>
    </row>
    <row r="77" spans="1:5" x14ac:dyDescent="0.35">
      <c r="A77" s="11"/>
      <c r="B77" s="307" t="str">
        <f>SUBSTITUTE(IF('Kustannusarvio|Rakennusselostus'!C68="",'Kustannusarvio|Rakennusselostus'!B68,'Kustannusarvio|Rakennusselostus'!C68),":","")</f>
        <v>Muu korjaus</v>
      </c>
      <c r="C77" s="277">
        <f>'Kustannusarvio|Rakennusselostus'!L68+'Kustannusarvio|Rakennusselostus'!P68</f>
        <v>0</v>
      </c>
      <c r="D77" s="276" t="str">
        <f>'Kustannusarvio|Rakennusselostus'!T68</f>
        <v>Ei toimenpiteitä</v>
      </c>
      <c r="E77" s="22"/>
    </row>
    <row r="78" spans="1:5" x14ac:dyDescent="0.35">
      <c r="A78" s="10" t="s">
        <v>39</v>
      </c>
      <c r="B78" s="30"/>
      <c r="C78" s="297"/>
      <c r="D78" s="296"/>
      <c r="E78" s="22"/>
    </row>
    <row r="79" spans="1:5" x14ac:dyDescent="0.35">
      <c r="A79" s="11"/>
      <c r="B79" s="2" t="s">
        <v>56</v>
      </c>
      <c r="C79" s="277">
        <f>'Kustannusarvio|Rakennusselostus'!L70+'Kustannusarvio|Rakennusselostus'!P70</f>
        <v>0</v>
      </c>
      <c r="D79" s="276" t="str">
        <f>'Kustannusarvio|Rakennusselostus'!T70</f>
        <v>Ei toimenpiteitä</v>
      </c>
      <c r="E79" s="22"/>
    </row>
    <row r="80" spans="1:5" x14ac:dyDescent="0.35">
      <c r="A80" s="11"/>
      <c r="B80" s="2" t="s">
        <v>55</v>
      </c>
      <c r="C80" s="277">
        <f>'Kustannusarvio|Rakennusselostus'!L71+'Kustannusarvio|Rakennusselostus'!P71</f>
        <v>0</v>
      </c>
      <c r="D80" s="276" t="str">
        <f>'Kustannusarvio|Rakennusselostus'!T71</f>
        <v>Ei toimenpiteitä</v>
      </c>
      <c r="E80" s="22"/>
    </row>
    <row r="81" spans="1:5" x14ac:dyDescent="0.35">
      <c r="A81" s="11"/>
      <c r="B81" s="2" t="s">
        <v>54</v>
      </c>
      <c r="C81" s="277">
        <f>'Kustannusarvio|Rakennusselostus'!L72+'Kustannusarvio|Rakennusselostus'!P72</f>
        <v>0</v>
      </c>
      <c r="D81" s="276" t="str">
        <f>'Kustannusarvio|Rakennusselostus'!T72</f>
        <v>Ei toimenpiteitä</v>
      </c>
      <c r="E81" s="22"/>
    </row>
    <row r="82" spans="1:5" x14ac:dyDescent="0.35">
      <c r="A82" s="11"/>
      <c r="B82" s="2" t="s">
        <v>57</v>
      </c>
      <c r="C82" s="277">
        <f>'Kustannusarvio|Rakennusselostus'!L73+'Kustannusarvio|Rakennusselostus'!P73</f>
        <v>0</v>
      </c>
      <c r="D82" s="276" t="str">
        <f>'Kustannusarvio|Rakennusselostus'!T73</f>
        <v>Ei toimenpiteitä</v>
      </c>
      <c r="E82" s="22"/>
    </row>
    <row r="83" spans="1:5" x14ac:dyDescent="0.35">
      <c r="A83" s="11"/>
      <c r="B83" s="2" t="s">
        <v>101</v>
      </c>
      <c r="C83" s="277">
        <f>'Kustannusarvio|Rakennusselostus'!L74+'Kustannusarvio|Rakennusselostus'!P74</f>
        <v>0</v>
      </c>
      <c r="D83" s="276" t="str">
        <f>'Kustannusarvio|Rakennusselostus'!T74</f>
        <v>Ei toimenpiteitä</v>
      </c>
      <c r="E83" s="22"/>
    </row>
    <row r="84" spans="1:5" x14ac:dyDescent="0.35">
      <c r="A84" s="11"/>
      <c r="B84" s="2" t="s">
        <v>58</v>
      </c>
      <c r="C84" s="277">
        <f>'Kustannusarvio|Rakennusselostus'!L75+'Kustannusarvio|Rakennusselostus'!P75</f>
        <v>0</v>
      </c>
      <c r="D84" s="276" t="str">
        <f>'Kustannusarvio|Rakennusselostus'!T75</f>
        <v>Ei toimenpiteitä</v>
      </c>
      <c r="E84" s="22"/>
    </row>
    <row r="85" spans="1:5" x14ac:dyDescent="0.35">
      <c r="A85" s="11"/>
      <c r="B85" s="2" t="s">
        <v>102</v>
      </c>
      <c r="C85" s="277">
        <f>'Kustannusarvio|Rakennusselostus'!L76+'Kustannusarvio|Rakennusselostus'!P76</f>
        <v>0</v>
      </c>
      <c r="D85" s="276" t="str">
        <f>'Kustannusarvio|Rakennusselostus'!T76</f>
        <v>Ei toimenpiteitä</v>
      </c>
      <c r="E85" s="22"/>
    </row>
    <row r="86" spans="1:5" x14ac:dyDescent="0.35">
      <c r="A86" s="11"/>
      <c r="B86" s="307" t="str">
        <f>SUBSTITUTE(IF('Kustannusarvio|Rakennusselostus'!C77="",'Kustannusarvio|Rakennusselostus'!B77,'Kustannusarvio|Rakennusselostus'!C77),":","")</f>
        <v>Muu korjaus</v>
      </c>
      <c r="C86" s="277">
        <f>'Kustannusarvio|Rakennusselostus'!L77+'Kustannusarvio|Rakennusselostus'!P77</f>
        <v>0</v>
      </c>
      <c r="D86" s="276" t="str">
        <f>'Kustannusarvio|Rakennusselostus'!T77</f>
        <v>Ei toimenpiteitä</v>
      </c>
      <c r="E86" s="22"/>
    </row>
    <row r="87" spans="1:5" x14ac:dyDescent="0.35">
      <c r="A87" s="10" t="s">
        <v>59</v>
      </c>
      <c r="B87" s="30"/>
      <c r="C87" s="297"/>
      <c r="D87" s="296"/>
      <c r="E87" s="22"/>
    </row>
    <row r="88" spans="1:5" x14ac:dyDescent="0.35">
      <c r="A88" s="11"/>
      <c r="B88" s="2" t="s">
        <v>103</v>
      </c>
      <c r="C88" s="277">
        <f>'Kustannusarvio|Rakennusselostus'!L79+'Kustannusarvio|Rakennusselostus'!P79</f>
        <v>0</v>
      </c>
      <c r="D88" s="276" t="str">
        <f>'Kustannusarvio|Rakennusselostus'!T79</f>
        <v>Ei toimenpiteitä</v>
      </c>
      <c r="E88" s="22"/>
    </row>
    <row r="89" spans="1:5" x14ac:dyDescent="0.35">
      <c r="A89" s="11"/>
      <c r="B89" s="2" t="s">
        <v>104</v>
      </c>
      <c r="C89" s="277">
        <f>'Kustannusarvio|Rakennusselostus'!L80+'Kustannusarvio|Rakennusselostus'!P80</f>
        <v>0</v>
      </c>
      <c r="D89" s="276" t="str">
        <f>'Kustannusarvio|Rakennusselostus'!T80</f>
        <v>Ei toimenpiteitä</v>
      </c>
      <c r="E89" s="22"/>
    </row>
    <row r="90" spans="1:5" x14ac:dyDescent="0.35">
      <c r="A90" s="11"/>
      <c r="B90" s="2" t="s">
        <v>69</v>
      </c>
      <c r="C90" s="277">
        <f>'Kustannusarvio|Rakennusselostus'!L81+'Kustannusarvio|Rakennusselostus'!P81</f>
        <v>0</v>
      </c>
      <c r="D90" s="276" t="str">
        <f>'Kustannusarvio|Rakennusselostus'!T81</f>
        <v>Ei toimenpiteitä</v>
      </c>
      <c r="E90" s="22"/>
    </row>
    <row r="91" spans="1:5" x14ac:dyDescent="0.35">
      <c r="A91" s="11"/>
      <c r="B91" s="307" t="str">
        <f>SUBSTITUTE(IF('Kustannusarvio|Rakennusselostus'!C82="",'Kustannusarvio|Rakennusselostus'!B82,'Kustannusarvio|Rakennusselostus'!C82),":","")</f>
        <v>Muu korjaus</v>
      </c>
      <c r="C91" s="277">
        <f>'Kustannusarvio|Rakennusselostus'!L82+'Kustannusarvio|Rakennusselostus'!P82</f>
        <v>0</v>
      </c>
      <c r="D91" s="276" t="str">
        <f>'Kustannusarvio|Rakennusselostus'!T82</f>
        <v>Ei toimenpiteitä</v>
      </c>
      <c r="E91" s="22"/>
    </row>
    <row r="92" spans="1:5" x14ac:dyDescent="0.35">
      <c r="A92" s="10" t="s">
        <v>60</v>
      </c>
      <c r="B92" s="30"/>
      <c r="C92" s="297"/>
      <c r="D92" s="296"/>
      <c r="E92" s="22"/>
    </row>
    <row r="93" spans="1:5" x14ac:dyDescent="0.35">
      <c r="A93" s="11"/>
      <c r="B93" s="2" t="s">
        <v>17</v>
      </c>
      <c r="C93" s="277">
        <f>'Kustannusarvio|Rakennusselostus'!L84+'Kustannusarvio|Rakennusselostus'!P84</f>
        <v>0</v>
      </c>
      <c r="D93" s="276" t="str">
        <f>'Kustannusarvio|Rakennusselostus'!T84</f>
        <v>Ei toimenpiteitä</v>
      </c>
      <c r="E93" s="22"/>
    </row>
    <row r="94" spans="1:5" x14ac:dyDescent="0.35">
      <c r="A94" s="11"/>
      <c r="B94" s="2" t="s">
        <v>61</v>
      </c>
      <c r="C94" s="277">
        <f>'Kustannusarvio|Rakennusselostus'!L85+'Kustannusarvio|Rakennusselostus'!P85</f>
        <v>0</v>
      </c>
      <c r="D94" s="276" t="str">
        <f>'Kustannusarvio|Rakennusselostus'!T85</f>
        <v>Ei toimenpiteitä</v>
      </c>
      <c r="E94" s="22"/>
    </row>
    <row r="95" spans="1:5" x14ac:dyDescent="0.35">
      <c r="A95" s="11"/>
      <c r="B95" s="2" t="s">
        <v>62</v>
      </c>
      <c r="C95" s="277">
        <f>'Kustannusarvio|Rakennusselostus'!L86+'Kustannusarvio|Rakennusselostus'!P86</f>
        <v>0</v>
      </c>
      <c r="D95" s="276" t="str">
        <f>'Kustannusarvio|Rakennusselostus'!T86</f>
        <v>Ei toimenpiteitä</v>
      </c>
      <c r="E95" s="22"/>
    </row>
    <row r="96" spans="1:5" x14ac:dyDescent="0.35">
      <c r="A96" s="11"/>
      <c r="B96" s="2" t="s">
        <v>105</v>
      </c>
      <c r="C96" s="277">
        <f>'Kustannusarvio|Rakennusselostus'!L87+'Kustannusarvio|Rakennusselostus'!P87</f>
        <v>0</v>
      </c>
      <c r="D96" s="276" t="str">
        <f>'Kustannusarvio|Rakennusselostus'!T87</f>
        <v>Ei toimenpiteitä</v>
      </c>
      <c r="E96" s="22"/>
    </row>
    <row r="97" spans="1:5" x14ac:dyDescent="0.35">
      <c r="A97" s="11"/>
      <c r="B97" s="2" t="s">
        <v>70</v>
      </c>
      <c r="C97" s="277">
        <f>'Kustannusarvio|Rakennusselostus'!L88+'Kustannusarvio|Rakennusselostus'!P88</f>
        <v>0</v>
      </c>
      <c r="D97" s="276" t="str">
        <f>'Kustannusarvio|Rakennusselostus'!T88</f>
        <v>Ei toimenpiteitä</v>
      </c>
      <c r="E97" s="22"/>
    </row>
    <row r="98" spans="1:5" x14ac:dyDescent="0.35">
      <c r="A98" s="11"/>
      <c r="B98" s="2" t="s">
        <v>106</v>
      </c>
      <c r="C98" s="277">
        <f>'Kustannusarvio|Rakennusselostus'!L89+'Kustannusarvio|Rakennusselostus'!P89</f>
        <v>0</v>
      </c>
      <c r="D98" s="276" t="str">
        <f>'Kustannusarvio|Rakennusselostus'!T89</f>
        <v>Ei toimenpiteitä</v>
      </c>
      <c r="E98" s="22"/>
    </row>
    <row r="99" spans="1:5" x14ac:dyDescent="0.35">
      <c r="A99" s="11"/>
      <c r="B99" s="2" t="s">
        <v>63</v>
      </c>
      <c r="C99" s="277">
        <f>'Kustannusarvio|Rakennusselostus'!L90+'Kustannusarvio|Rakennusselostus'!P90</f>
        <v>0</v>
      </c>
      <c r="D99" s="276" t="str">
        <f>'Kustannusarvio|Rakennusselostus'!T90</f>
        <v>Ei toimenpiteitä</v>
      </c>
      <c r="E99" s="22"/>
    </row>
    <row r="100" spans="1:5" x14ac:dyDescent="0.35">
      <c r="A100" s="11"/>
      <c r="B100" s="2" t="s">
        <v>64</v>
      </c>
      <c r="C100" s="277">
        <f>'Kustannusarvio|Rakennusselostus'!L91+'Kustannusarvio|Rakennusselostus'!P91</f>
        <v>0</v>
      </c>
      <c r="D100" s="276" t="str">
        <f>'Kustannusarvio|Rakennusselostus'!T91</f>
        <v>Ei toimenpiteitä</v>
      </c>
      <c r="E100" s="22"/>
    </row>
    <row r="101" spans="1:5" x14ac:dyDescent="0.35">
      <c r="A101" s="11"/>
      <c r="B101" s="2" t="s">
        <v>250</v>
      </c>
      <c r="C101" s="277">
        <f>'Kustannusarvio|Rakennusselostus'!L92+'Kustannusarvio|Rakennusselostus'!P92</f>
        <v>0</v>
      </c>
      <c r="D101" s="276" t="str">
        <f>'Kustannusarvio|Rakennusselostus'!T92</f>
        <v>Ei toimenpiteitä</v>
      </c>
      <c r="E101" s="22"/>
    </row>
    <row r="102" spans="1:5" x14ac:dyDescent="0.35">
      <c r="A102" s="11"/>
      <c r="B102" s="2" t="s">
        <v>119</v>
      </c>
      <c r="C102" s="277">
        <f>'Kustannusarvio|Rakennusselostus'!L93+'Kustannusarvio|Rakennusselostus'!P93</f>
        <v>0</v>
      </c>
      <c r="D102" s="276" t="str">
        <f>'Kustannusarvio|Rakennusselostus'!T93</f>
        <v>Ei toimenpiteitä</v>
      </c>
      <c r="E102" s="22"/>
    </row>
    <row r="103" spans="1:5" x14ac:dyDescent="0.35">
      <c r="A103" s="11"/>
      <c r="B103" s="2" t="s">
        <v>65</v>
      </c>
      <c r="C103" s="277">
        <f>'Kustannusarvio|Rakennusselostus'!L94+'Kustannusarvio|Rakennusselostus'!P94</f>
        <v>0</v>
      </c>
      <c r="D103" s="276" t="str">
        <f>'Kustannusarvio|Rakennusselostus'!T94</f>
        <v>Ei toimenpiteitä</v>
      </c>
      <c r="E103" s="22"/>
    </row>
    <row r="104" spans="1:5" x14ac:dyDescent="0.35">
      <c r="A104" s="11"/>
      <c r="B104" s="2" t="s">
        <v>107</v>
      </c>
      <c r="C104" s="277">
        <f>'Kustannusarvio|Rakennusselostus'!L95+'Kustannusarvio|Rakennusselostus'!P95</f>
        <v>0</v>
      </c>
      <c r="D104" s="276" t="str">
        <f>'Kustannusarvio|Rakennusselostus'!T95</f>
        <v>Ei toimenpiteitä</v>
      </c>
      <c r="E104" s="22"/>
    </row>
    <row r="105" spans="1:5" x14ac:dyDescent="0.35">
      <c r="A105" s="11"/>
      <c r="B105" s="307" t="str">
        <f>SUBSTITUTE(IF('Kustannusarvio|Rakennusselostus'!C96="",'Kustannusarvio|Rakennusselostus'!B96,'Kustannusarvio|Rakennusselostus'!C96),":","")</f>
        <v>Muu korjaus</v>
      </c>
      <c r="C105" s="277">
        <f>'Kustannusarvio|Rakennusselostus'!L96+'Kustannusarvio|Rakennusselostus'!P96</f>
        <v>0</v>
      </c>
      <c r="D105" s="276" t="str">
        <f>'Kustannusarvio|Rakennusselostus'!T96</f>
        <v>Ei toimenpiteitä</v>
      </c>
      <c r="E105" s="22"/>
    </row>
    <row r="106" spans="1:5" x14ac:dyDescent="0.35">
      <c r="A106" s="10" t="s">
        <v>68</v>
      </c>
      <c r="B106" s="30"/>
      <c r="C106" s="297"/>
      <c r="D106" s="296"/>
      <c r="E106" s="22"/>
    </row>
    <row r="107" spans="1:5" x14ac:dyDescent="0.35">
      <c r="A107" s="11"/>
      <c r="B107" s="2" t="s">
        <v>66</v>
      </c>
      <c r="C107" s="277">
        <f>'Kustannusarvio|Rakennusselostus'!L98+'Kustannusarvio|Rakennusselostus'!P98</f>
        <v>0</v>
      </c>
      <c r="D107" s="276" t="str">
        <f>'Kustannusarvio|Rakennusselostus'!T98</f>
        <v>Ei toimenpiteitä</v>
      </c>
      <c r="E107" s="22"/>
    </row>
    <row r="108" spans="1:5" x14ac:dyDescent="0.35">
      <c r="A108" s="11"/>
      <c r="B108" s="2" t="s">
        <v>67</v>
      </c>
      <c r="C108" s="277">
        <f>'Kustannusarvio|Rakennusselostus'!L99+'Kustannusarvio|Rakennusselostus'!P99</f>
        <v>0</v>
      </c>
      <c r="D108" s="276" t="str">
        <f>'Kustannusarvio|Rakennusselostus'!T99</f>
        <v>Ei toimenpiteitä</v>
      </c>
      <c r="E108" s="22"/>
    </row>
    <row r="109" spans="1:5" x14ac:dyDescent="0.35">
      <c r="A109" s="11"/>
      <c r="B109" s="2" t="s">
        <v>71</v>
      </c>
      <c r="C109" s="277">
        <f>'Kustannusarvio|Rakennusselostus'!L100+'Kustannusarvio|Rakennusselostus'!P100</f>
        <v>0</v>
      </c>
      <c r="D109" s="276" t="str">
        <f>'Kustannusarvio|Rakennusselostus'!T100</f>
        <v>Ei toimenpiteitä</v>
      </c>
      <c r="E109" s="22"/>
    </row>
    <row r="110" spans="1:5" x14ac:dyDescent="0.35">
      <c r="A110" s="11"/>
      <c r="B110" s="2" t="s">
        <v>111</v>
      </c>
      <c r="C110" s="277">
        <f>'Kustannusarvio|Rakennusselostus'!L101+'Kustannusarvio|Rakennusselostus'!P101</f>
        <v>0</v>
      </c>
      <c r="D110" s="276" t="str">
        <f>'Kustannusarvio|Rakennusselostus'!T101</f>
        <v>Ei toimenpiteitä</v>
      </c>
      <c r="E110" s="22"/>
    </row>
    <row r="111" spans="1:5" x14ac:dyDescent="0.35">
      <c r="A111" s="11"/>
      <c r="B111" s="307" t="str">
        <f>SUBSTITUTE(IF('Kustannusarvio|Rakennusselostus'!C102="",'Kustannusarvio|Rakennusselostus'!B102,'Kustannusarvio|Rakennusselostus'!C102),":","")</f>
        <v>Muu korjaus</v>
      </c>
      <c r="C111" s="277">
        <f>'Kustannusarvio|Rakennusselostus'!L102+'Kustannusarvio|Rakennusselostus'!P102</f>
        <v>0</v>
      </c>
      <c r="D111" s="276" t="str">
        <f>'Kustannusarvio|Rakennusselostus'!T102</f>
        <v>Ei toimenpiteitä</v>
      </c>
      <c r="E111" s="22"/>
    </row>
    <row r="112" spans="1:5" x14ac:dyDescent="0.35">
      <c r="A112" s="10" t="s">
        <v>79</v>
      </c>
      <c r="B112" s="30"/>
      <c r="C112" s="297"/>
      <c r="D112" s="296"/>
      <c r="E112" s="22"/>
    </row>
    <row r="113" spans="1:5" x14ac:dyDescent="0.35">
      <c r="A113" s="11"/>
      <c r="B113" s="2" t="s">
        <v>82</v>
      </c>
      <c r="C113" s="277">
        <f>'Kustannusarvio|Rakennusselostus'!L104+'Kustannusarvio|Rakennusselostus'!P104</f>
        <v>0</v>
      </c>
      <c r="D113" s="276" t="str">
        <f>'Kustannusarvio|Rakennusselostus'!T104</f>
        <v>Ei toimenpiteitä</v>
      </c>
      <c r="E113" s="22"/>
    </row>
    <row r="114" spans="1:5" x14ac:dyDescent="0.35">
      <c r="A114" s="11"/>
      <c r="B114" s="2" t="s">
        <v>72</v>
      </c>
      <c r="C114" s="277">
        <f>'Kustannusarvio|Rakennusselostus'!L105+'Kustannusarvio|Rakennusselostus'!P105</f>
        <v>0</v>
      </c>
      <c r="D114" s="276" t="str">
        <f>'Kustannusarvio|Rakennusselostus'!T105</f>
        <v>Ei toimenpiteitä</v>
      </c>
      <c r="E114" s="22"/>
    </row>
    <row r="115" spans="1:5" x14ac:dyDescent="0.35">
      <c r="A115" s="11"/>
      <c r="B115" s="2" t="s">
        <v>73</v>
      </c>
      <c r="C115" s="277">
        <f>'Kustannusarvio|Rakennusselostus'!L106+'Kustannusarvio|Rakennusselostus'!P106</f>
        <v>0</v>
      </c>
      <c r="D115" s="276" t="str">
        <f>'Kustannusarvio|Rakennusselostus'!T106</f>
        <v>Ei toimenpiteitä</v>
      </c>
      <c r="E115" s="22"/>
    </row>
    <row r="116" spans="1:5" x14ac:dyDescent="0.35">
      <c r="A116" s="11"/>
      <c r="B116" s="2" t="s">
        <v>74</v>
      </c>
      <c r="C116" s="277">
        <f>'Kustannusarvio|Rakennusselostus'!L107+'Kustannusarvio|Rakennusselostus'!P107</f>
        <v>0</v>
      </c>
      <c r="D116" s="276" t="str">
        <f>'Kustannusarvio|Rakennusselostus'!T107</f>
        <v>Ei toimenpiteitä</v>
      </c>
      <c r="E116" s="22"/>
    </row>
    <row r="117" spans="1:5" x14ac:dyDescent="0.35">
      <c r="A117" s="11"/>
      <c r="B117" s="2" t="s">
        <v>75</v>
      </c>
      <c r="C117" s="277">
        <f>'Kustannusarvio|Rakennusselostus'!L108+'Kustannusarvio|Rakennusselostus'!P108</f>
        <v>0</v>
      </c>
      <c r="D117" s="276" t="str">
        <f>'Kustannusarvio|Rakennusselostus'!T108</f>
        <v>Ei toimenpiteitä</v>
      </c>
      <c r="E117" s="22"/>
    </row>
    <row r="118" spans="1:5" x14ac:dyDescent="0.35">
      <c r="A118" s="11"/>
      <c r="B118" s="2" t="s">
        <v>230</v>
      </c>
      <c r="C118" s="277">
        <f>'Kustannusarvio|Rakennusselostus'!L109+'Kustannusarvio|Rakennusselostus'!P109</f>
        <v>0</v>
      </c>
      <c r="D118" s="276" t="str">
        <f>'Kustannusarvio|Rakennusselostus'!T109</f>
        <v>Ei toimenpiteitä</v>
      </c>
      <c r="E118" s="22"/>
    </row>
    <row r="119" spans="1:5" x14ac:dyDescent="0.35">
      <c r="A119" s="11"/>
      <c r="B119" s="2" t="s">
        <v>231</v>
      </c>
      <c r="C119" s="277">
        <f>'Kustannusarvio|Rakennusselostus'!L110+'Kustannusarvio|Rakennusselostus'!P110</f>
        <v>0</v>
      </c>
      <c r="D119" s="276" t="str">
        <f>'Kustannusarvio|Rakennusselostus'!T110</f>
        <v>Ei toimenpiteitä</v>
      </c>
      <c r="E119" s="22"/>
    </row>
    <row r="120" spans="1:5" x14ac:dyDescent="0.35">
      <c r="A120" s="11"/>
      <c r="B120" s="2" t="s">
        <v>81</v>
      </c>
      <c r="C120" s="277">
        <f>'Kustannusarvio|Rakennusselostus'!L111+'Kustannusarvio|Rakennusselostus'!P111</f>
        <v>0</v>
      </c>
      <c r="D120" s="276" t="str">
        <f>'Kustannusarvio|Rakennusselostus'!T111</f>
        <v>Ei toimenpiteitä</v>
      </c>
      <c r="E120" s="22"/>
    </row>
    <row r="121" spans="1:5" x14ac:dyDescent="0.35">
      <c r="A121" s="11"/>
      <c r="B121" s="2" t="s">
        <v>76</v>
      </c>
      <c r="C121" s="277">
        <f>'Kustannusarvio|Rakennusselostus'!L112+'Kustannusarvio|Rakennusselostus'!P112</f>
        <v>0</v>
      </c>
      <c r="D121" s="276" t="str">
        <f>'Kustannusarvio|Rakennusselostus'!T112</f>
        <v>Ei toimenpiteitä</v>
      </c>
      <c r="E121" s="22"/>
    </row>
    <row r="122" spans="1:5" x14ac:dyDescent="0.35">
      <c r="A122" s="11"/>
      <c r="B122" s="2" t="s">
        <v>77</v>
      </c>
      <c r="C122" s="277">
        <f>'Kustannusarvio|Rakennusselostus'!L113+'Kustannusarvio|Rakennusselostus'!P113</f>
        <v>0</v>
      </c>
      <c r="D122" s="276" t="str">
        <f>'Kustannusarvio|Rakennusselostus'!T113</f>
        <v>Ei toimenpiteitä</v>
      </c>
      <c r="E122" s="22"/>
    </row>
    <row r="123" spans="1:5" x14ac:dyDescent="0.35">
      <c r="A123" s="11"/>
      <c r="B123" s="2" t="s">
        <v>78</v>
      </c>
      <c r="C123" s="277">
        <f>'Kustannusarvio|Rakennusselostus'!L114+'Kustannusarvio|Rakennusselostus'!P114</f>
        <v>0</v>
      </c>
      <c r="D123" s="276" t="str">
        <f>'Kustannusarvio|Rakennusselostus'!T114</f>
        <v>Ei toimenpiteitä</v>
      </c>
      <c r="E123" s="22"/>
    </row>
    <row r="124" spans="1:5" x14ac:dyDescent="0.35">
      <c r="A124" s="11"/>
      <c r="B124" s="2" t="s">
        <v>80</v>
      </c>
      <c r="C124" s="277">
        <f>'Kustannusarvio|Rakennusselostus'!L115+'Kustannusarvio|Rakennusselostus'!P115</f>
        <v>0</v>
      </c>
      <c r="D124" s="276" t="str">
        <f>'Kustannusarvio|Rakennusselostus'!T115</f>
        <v>Ei toimenpiteitä</v>
      </c>
      <c r="E124" s="22"/>
    </row>
    <row r="125" spans="1:5" x14ac:dyDescent="0.35">
      <c r="A125" s="11"/>
      <c r="B125" s="2" t="s">
        <v>83</v>
      </c>
      <c r="C125" s="277">
        <f>'Kustannusarvio|Rakennusselostus'!L116+'Kustannusarvio|Rakennusselostus'!P116</f>
        <v>0</v>
      </c>
      <c r="D125" s="276" t="str">
        <f>'Kustannusarvio|Rakennusselostus'!T116</f>
        <v>Ei toimenpiteitä</v>
      </c>
      <c r="E125" s="22"/>
    </row>
    <row r="126" spans="1:5" x14ac:dyDescent="0.35">
      <c r="A126" s="11"/>
      <c r="B126" s="2" t="s">
        <v>121</v>
      </c>
      <c r="C126" s="277">
        <f>'Kustannusarvio|Rakennusselostus'!L117+'Kustannusarvio|Rakennusselostus'!P117</f>
        <v>0</v>
      </c>
      <c r="D126" s="276" t="str">
        <f>'Kustannusarvio|Rakennusselostus'!T117</f>
        <v>Ei toimenpiteitä</v>
      </c>
      <c r="E126" s="22"/>
    </row>
    <row r="127" spans="1:5" x14ac:dyDescent="0.35">
      <c r="A127" s="11"/>
      <c r="B127" s="2" t="s">
        <v>84</v>
      </c>
      <c r="C127" s="277">
        <f>'Kustannusarvio|Rakennusselostus'!L118+'Kustannusarvio|Rakennusselostus'!P118</f>
        <v>0</v>
      </c>
      <c r="D127" s="276" t="str">
        <f>'Kustannusarvio|Rakennusselostus'!T118</f>
        <v>Ei toimenpiteitä</v>
      </c>
      <c r="E127" s="22"/>
    </row>
    <row r="128" spans="1:5" x14ac:dyDescent="0.35">
      <c r="A128" s="11"/>
      <c r="B128" s="2" t="s">
        <v>85</v>
      </c>
      <c r="C128" s="277">
        <f>'Kustannusarvio|Rakennusselostus'!L119+'Kustannusarvio|Rakennusselostus'!P119</f>
        <v>0</v>
      </c>
      <c r="D128" s="276" t="str">
        <f>'Kustannusarvio|Rakennusselostus'!T119</f>
        <v>Ei toimenpiteitä</v>
      </c>
      <c r="E128" s="22"/>
    </row>
    <row r="129" spans="1:5" x14ac:dyDescent="0.35">
      <c r="A129" s="11"/>
      <c r="B129" s="2" t="s">
        <v>86</v>
      </c>
      <c r="C129" s="277">
        <f>'Kustannusarvio|Rakennusselostus'!L120+'Kustannusarvio|Rakennusselostus'!P120</f>
        <v>0</v>
      </c>
      <c r="D129" s="276" t="str">
        <f>'Kustannusarvio|Rakennusselostus'!T120</f>
        <v>Ei toimenpiteitä</v>
      </c>
      <c r="E129" s="22"/>
    </row>
    <row r="130" spans="1:5" x14ac:dyDescent="0.35">
      <c r="A130" s="11"/>
      <c r="B130" s="2" t="s">
        <v>87</v>
      </c>
      <c r="C130" s="277">
        <f>'Kustannusarvio|Rakennusselostus'!L121+'Kustannusarvio|Rakennusselostus'!P121</f>
        <v>0</v>
      </c>
      <c r="D130" s="276" t="str">
        <f>'Kustannusarvio|Rakennusselostus'!T121</f>
        <v>Ei toimenpiteitä</v>
      </c>
      <c r="E130" s="22"/>
    </row>
    <row r="131" spans="1:5" x14ac:dyDescent="0.35">
      <c r="A131" s="11"/>
      <c r="B131" s="2" t="s">
        <v>88</v>
      </c>
      <c r="C131" s="277">
        <f>'Kustannusarvio|Rakennusselostus'!L122+'Kustannusarvio|Rakennusselostus'!P122</f>
        <v>0</v>
      </c>
      <c r="D131" s="276" t="str">
        <f>'Kustannusarvio|Rakennusselostus'!T122</f>
        <v>Ei toimenpiteitä</v>
      </c>
      <c r="E131" s="22"/>
    </row>
    <row r="132" spans="1:5" x14ac:dyDescent="0.35">
      <c r="A132" s="11"/>
      <c r="B132" s="2" t="s">
        <v>89</v>
      </c>
      <c r="C132" s="277">
        <f>'Kustannusarvio|Rakennusselostus'!L123+'Kustannusarvio|Rakennusselostus'!P123</f>
        <v>0</v>
      </c>
      <c r="D132" s="276" t="str">
        <f>'Kustannusarvio|Rakennusselostus'!T123</f>
        <v>Ei toimenpiteitä</v>
      </c>
      <c r="E132" s="22"/>
    </row>
    <row r="133" spans="1:5" x14ac:dyDescent="0.35">
      <c r="A133" s="11"/>
      <c r="B133" s="2" t="s">
        <v>90</v>
      </c>
      <c r="C133" s="277">
        <f>'Kustannusarvio|Rakennusselostus'!L124+'Kustannusarvio|Rakennusselostus'!P124</f>
        <v>0</v>
      </c>
      <c r="D133" s="276" t="str">
        <f>'Kustannusarvio|Rakennusselostus'!T124</f>
        <v>Ei toimenpiteitä</v>
      </c>
      <c r="E133" s="22"/>
    </row>
    <row r="134" spans="1:5" x14ac:dyDescent="0.35">
      <c r="A134" s="11"/>
      <c r="B134" s="2" t="s">
        <v>91</v>
      </c>
      <c r="C134" s="277">
        <f>'Kustannusarvio|Rakennusselostus'!L125+'Kustannusarvio|Rakennusselostus'!P125</f>
        <v>0</v>
      </c>
      <c r="D134" s="276" t="str">
        <f>'Kustannusarvio|Rakennusselostus'!T125</f>
        <v>Ei toimenpiteitä</v>
      </c>
      <c r="E134" s="22"/>
    </row>
    <row r="135" spans="1:5" x14ac:dyDescent="0.35">
      <c r="A135" s="11"/>
      <c r="B135" s="2" t="s">
        <v>92</v>
      </c>
      <c r="C135" s="277">
        <f>'Kustannusarvio|Rakennusselostus'!L126+'Kustannusarvio|Rakennusselostus'!P126</f>
        <v>0</v>
      </c>
      <c r="D135" s="276" t="str">
        <f>'Kustannusarvio|Rakennusselostus'!T126</f>
        <v>Ei toimenpiteitä</v>
      </c>
      <c r="E135" s="22"/>
    </row>
    <row r="136" spans="1:5" x14ac:dyDescent="0.35">
      <c r="A136" s="11"/>
      <c r="B136" s="2" t="s">
        <v>93</v>
      </c>
      <c r="C136" s="277">
        <f>'Kustannusarvio|Rakennusselostus'!L127+'Kustannusarvio|Rakennusselostus'!P127</f>
        <v>0</v>
      </c>
      <c r="D136" s="276" t="str">
        <f>'Kustannusarvio|Rakennusselostus'!T127</f>
        <v>Ei toimenpiteitä</v>
      </c>
      <c r="E136" s="22"/>
    </row>
    <row r="137" spans="1:5" x14ac:dyDescent="0.35">
      <c r="A137" s="11"/>
      <c r="B137" s="307" t="str">
        <f>SUBSTITUTE(IF('Kustannusarvio|Rakennusselostus'!C128="",'Kustannusarvio|Rakennusselostus'!B128,'Kustannusarvio|Rakennusselostus'!C128),":","")</f>
        <v>Muu korjaus</v>
      </c>
      <c r="C137" s="277">
        <f>'Kustannusarvio|Rakennusselostus'!L128+'Kustannusarvio|Rakennusselostus'!P128</f>
        <v>0</v>
      </c>
      <c r="D137" s="276" t="str">
        <f>'Kustannusarvio|Rakennusselostus'!T128</f>
        <v>Ei toimenpiteitä</v>
      </c>
      <c r="E137" s="22"/>
    </row>
    <row r="138" spans="1:5" x14ac:dyDescent="0.35">
      <c r="A138" s="11"/>
      <c r="B138" s="307" t="str">
        <f>SUBSTITUTE(IF('Kustannusarvio|Rakennusselostus'!C129="",'Kustannusarvio|Rakennusselostus'!B129,'Kustannusarvio|Rakennusselostus'!C129),":","")</f>
        <v>Muu korjaus</v>
      </c>
      <c r="C138" s="277">
        <f>'Kustannusarvio|Rakennusselostus'!L129+'Kustannusarvio|Rakennusselostus'!P129</f>
        <v>0</v>
      </c>
      <c r="D138" s="276" t="str">
        <f>'Kustannusarvio|Rakennusselostus'!T129</f>
        <v>Ei toimenpiteitä</v>
      </c>
      <c r="E138" s="22"/>
    </row>
    <row r="139" spans="1:5" x14ac:dyDescent="0.35">
      <c r="A139" s="44" t="s">
        <v>187</v>
      </c>
      <c r="B139" s="51"/>
      <c r="C139" s="46"/>
      <c r="D139" s="149"/>
      <c r="E139" s="22"/>
    </row>
    <row r="140" spans="1:5" x14ac:dyDescent="0.35">
      <c r="A140" s="11"/>
      <c r="B140" s="2" t="s">
        <v>196</v>
      </c>
      <c r="C140" s="277">
        <f>'Kustannusarvio|Rakennusselostus'!L131+'Kustannusarvio|Rakennusselostus'!P131</f>
        <v>0</v>
      </c>
      <c r="D140" s="276" t="str">
        <f>'Kustannusarvio|Rakennusselostus'!T131</f>
        <v>Ei toimenpiteitä</v>
      </c>
      <c r="E140" s="22"/>
    </row>
    <row r="141" spans="1:5" x14ac:dyDescent="0.35">
      <c r="A141" s="11"/>
      <c r="B141" s="2" t="s">
        <v>191</v>
      </c>
      <c r="C141" s="277">
        <f>'Kustannusarvio|Rakennusselostus'!L132+'Kustannusarvio|Rakennusselostus'!P132</f>
        <v>0</v>
      </c>
      <c r="D141" s="276" t="str">
        <f>'Kustannusarvio|Rakennusselostus'!T132</f>
        <v>Ei toimenpiteitä</v>
      </c>
      <c r="E141" s="22"/>
    </row>
    <row r="142" spans="1:5" x14ac:dyDescent="0.35">
      <c r="A142" s="11"/>
      <c r="B142" s="2" t="s">
        <v>20</v>
      </c>
      <c r="C142" s="277">
        <f>'Kustannusarvio|Rakennusselostus'!L133+'Kustannusarvio|Rakennusselostus'!P133</f>
        <v>0</v>
      </c>
      <c r="D142" s="276" t="str">
        <f>'Kustannusarvio|Rakennusselostus'!T133</f>
        <v>Ei toimenpiteitä</v>
      </c>
      <c r="E142" s="22"/>
    </row>
    <row r="143" spans="1:5" x14ac:dyDescent="0.35">
      <c r="A143" s="11"/>
      <c r="B143" s="2" t="s">
        <v>188</v>
      </c>
      <c r="C143" s="277">
        <f>'Kustannusarvio|Rakennusselostus'!L134+'Kustannusarvio|Rakennusselostus'!P134</f>
        <v>0</v>
      </c>
      <c r="D143" s="276" t="str">
        <f>'Kustannusarvio|Rakennusselostus'!T134</f>
        <v>Ei toimenpiteitä</v>
      </c>
      <c r="E143" s="22"/>
    </row>
    <row r="144" spans="1:5" x14ac:dyDescent="0.35">
      <c r="A144" s="11"/>
      <c r="B144" s="2" t="s">
        <v>189</v>
      </c>
      <c r="C144" s="277">
        <f>'Kustannusarvio|Rakennusselostus'!L135+'Kustannusarvio|Rakennusselostus'!P135</f>
        <v>0</v>
      </c>
      <c r="D144" s="276" t="str">
        <f>'Kustannusarvio|Rakennusselostus'!T135</f>
        <v>Ei toimenpiteitä</v>
      </c>
      <c r="E144" s="22"/>
    </row>
    <row r="145" spans="1:5" x14ac:dyDescent="0.35">
      <c r="A145" s="11"/>
      <c r="B145" s="2" t="s">
        <v>190</v>
      </c>
      <c r="C145" s="277">
        <f>'Kustannusarvio|Rakennusselostus'!L136+'Kustannusarvio|Rakennusselostus'!P136</f>
        <v>0</v>
      </c>
      <c r="D145" s="276" t="str">
        <f>'Kustannusarvio|Rakennusselostus'!T136</f>
        <v>Ei toimenpiteitä</v>
      </c>
      <c r="E145" s="22"/>
    </row>
    <row r="146" spans="1:5" x14ac:dyDescent="0.35">
      <c r="A146" s="11"/>
      <c r="B146" s="2" t="s">
        <v>192</v>
      </c>
      <c r="C146" s="277">
        <f>'Kustannusarvio|Rakennusselostus'!L137+'Kustannusarvio|Rakennusselostus'!P137</f>
        <v>0</v>
      </c>
      <c r="D146" s="276" t="str">
        <f>'Kustannusarvio|Rakennusselostus'!T137</f>
        <v>Ei toimenpiteitä</v>
      </c>
      <c r="E146" s="22"/>
    </row>
    <row r="147" spans="1:5" x14ac:dyDescent="0.35">
      <c r="A147" s="11"/>
      <c r="B147" s="2" t="str">
        <f>SUBSTITUTE(IF('Kustannusarvio|Rakennusselostus'!C138="",'Kustannusarvio|Rakennusselostus'!B138,'Kustannusarvio|Rakennusselostus'!C138),":","")</f>
        <v>Muut koneet ja laitteet</v>
      </c>
      <c r="C147" s="277">
        <f>'Kustannusarvio|Rakennusselostus'!L138+'Kustannusarvio|Rakennusselostus'!P138</f>
        <v>0</v>
      </c>
      <c r="D147" s="276" t="str">
        <f>'Kustannusarvio|Rakennusselostus'!T138</f>
        <v>Ei toimenpiteitä</v>
      </c>
      <c r="E147" s="22"/>
    </row>
    <row r="148" spans="1:5" x14ac:dyDescent="0.35">
      <c r="A148" s="11"/>
      <c r="B148" s="2" t="str">
        <f>SUBSTITUTE(IF('Kustannusarvio|Rakennusselostus'!C139="",'Kustannusarvio|Rakennusselostus'!B139,'Kustannusarvio|Rakennusselostus'!C139),":","")</f>
        <v>Muu kaluste / varuste</v>
      </c>
      <c r="C148" s="277">
        <f>'Kustannusarvio|Rakennusselostus'!L139+'Kustannusarvio|Rakennusselostus'!P139</f>
        <v>0</v>
      </c>
      <c r="D148" s="276" t="str">
        <f>'Kustannusarvio|Rakennusselostus'!T139</f>
        <v>Ei toimenpiteitä</v>
      </c>
      <c r="E148" s="22"/>
    </row>
    <row r="149" spans="1:5" x14ac:dyDescent="0.35">
      <c r="A149" s="44" t="s">
        <v>193</v>
      </c>
      <c r="B149" s="51"/>
      <c r="C149" s="46"/>
      <c r="D149" s="149"/>
      <c r="E149" s="22"/>
    </row>
    <row r="150" spans="1:5" x14ac:dyDescent="0.35">
      <c r="A150" s="13"/>
      <c r="B150" s="5" t="s">
        <v>97</v>
      </c>
      <c r="C150" s="277">
        <f>'Kustannusarvio|Rakennusselostus'!L141+'Kustannusarvio|Rakennusselostus'!P141</f>
        <v>0</v>
      </c>
      <c r="D150" s="276" t="str">
        <f>'Kustannusarvio|Rakennusselostus'!T141</f>
        <v>Ei toimenpiteitä</v>
      </c>
      <c r="E150" s="22"/>
    </row>
    <row r="151" spans="1:5" x14ac:dyDescent="0.35">
      <c r="A151" s="13"/>
      <c r="B151" s="3" t="s">
        <v>96</v>
      </c>
      <c r="C151" s="277">
        <f>'Kustannusarvio|Rakennusselostus'!L142+'Kustannusarvio|Rakennusselostus'!P142</f>
        <v>0</v>
      </c>
      <c r="D151" s="276" t="str">
        <f>'Kustannusarvio|Rakennusselostus'!T142</f>
        <v>Ei toimenpiteitä</v>
      </c>
      <c r="E151" s="22"/>
    </row>
    <row r="152" spans="1:5" x14ac:dyDescent="0.35">
      <c r="A152" s="13"/>
      <c r="B152" s="2" t="s">
        <v>194</v>
      </c>
      <c r="C152" s="277">
        <f>'Kustannusarvio|Rakennusselostus'!L143+'Kustannusarvio|Rakennusselostus'!P143</f>
        <v>0</v>
      </c>
      <c r="D152" s="276" t="str">
        <f>'Kustannusarvio|Rakennusselostus'!T143</f>
        <v>Ei toimenpiteitä</v>
      </c>
      <c r="E152" s="22"/>
    </row>
    <row r="153" spans="1:5" x14ac:dyDescent="0.35">
      <c r="A153" s="13"/>
      <c r="B153" s="2" t="s">
        <v>195</v>
      </c>
      <c r="C153" s="277">
        <f>'Kustannusarvio|Rakennusselostus'!L144+'Kustannusarvio|Rakennusselostus'!P144</f>
        <v>0</v>
      </c>
      <c r="D153" s="276" t="str">
        <f>'Kustannusarvio|Rakennusselostus'!T144</f>
        <v>Ei toimenpiteitä</v>
      </c>
      <c r="E153" s="22"/>
    </row>
    <row r="154" spans="1:5" x14ac:dyDescent="0.35">
      <c r="A154" s="44" t="s">
        <v>176</v>
      </c>
      <c r="B154" s="51"/>
      <c r="C154" s="46"/>
      <c r="D154" s="149"/>
      <c r="E154" s="22"/>
    </row>
    <row r="155" spans="1:5" x14ac:dyDescent="0.35">
      <c r="A155" s="10" t="s">
        <v>177</v>
      </c>
      <c r="B155" s="30"/>
      <c r="C155" s="297"/>
      <c r="D155" s="298"/>
      <c r="E155" s="22"/>
    </row>
    <row r="156" spans="1:5" x14ac:dyDescent="0.35">
      <c r="A156" s="13"/>
      <c r="B156" s="4" t="s">
        <v>197</v>
      </c>
      <c r="C156" s="277">
        <f>'Kustannusarvio|Rakennusselostus'!L147+'Kustannusarvio|Rakennusselostus'!P147</f>
        <v>0</v>
      </c>
      <c r="D156" s="276" t="str">
        <f>'Kustannusarvio|Rakennusselostus'!T147</f>
        <v>Ei toimenpiteitä</v>
      </c>
      <c r="E156" s="22"/>
    </row>
    <row r="157" spans="1:5" x14ac:dyDescent="0.35">
      <c r="A157" s="13"/>
      <c r="B157" s="4" t="s">
        <v>108</v>
      </c>
      <c r="C157" s="277">
        <f>'Kustannusarvio|Rakennusselostus'!L148+'Kustannusarvio|Rakennusselostus'!P148</f>
        <v>0</v>
      </c>
      <c r="D157" s="276" t="str">
        <f>'Kustannusarvio|Rakennusselostus'!T148</f>
        <v>Ei toimenpiteitä</v>
      </c>
      <c r="E157" s="22"/>
    </row>
    <row r="158" spans="1:5" x14ac:dyDescent="0.35">
      <c r="A158" s="13"/>
      <c r="B158" s="5" t="s">
        <v>109</v>
      </c>
      <c r="C158" s="277">
        <f>'Kustannusarvio|Rakennusselostus'!L149+'Kustannusarvio|Rakennusselostus'!P149</f>
        <v>0</v>
      </c>
      <c r="D158" s="276" t="str">
        <f>'Kustannusarvio|Rakennusselostus'!T149</f>
        <v>Ei toimenpiteitä</v>
      </c>
      <c r="E158" s="22"/>
    </row>
    <row r="159" spans="1:5" x14ac:dyDescent="0.35">
      <c r="A159" s="13"/>
      <c r="B159" s="5" t="s">
        <v>178</v>
      </c>
      <c r="C159" s="277">
        <f>'Kustannusarvio|Rakennusselostus'!L150+'Kustannusarvio|Rakennusselostus'!P150</f>
        <v>0</v>
      </c>
      <c r="D159" s="276" t="str">
        <f>'Kustannusarvio|Rakennusselostus'!T150</f>
        <v>Ei toimenpiteitä</v>
      </c>
      <c r="E159" s="22"/>
    </row>
    <row r="160" spans="1:5" x14ac:dyDescent="0.35">
      <c r="A160" s="13"/>
      <c r="B160" s="5" t="s">
        <v>179</v>
      </c>
      <c r="C160" s="277">
        <f>'Kustannusarvio|Rakennusselostus'!L151+'Kustannusarvio|Rakennusselostus'!P151</f>
        <v>0</v>
      </c>
      <c r="D160" s="276" t="str">
        <f>'Kustannusarvio|Rakennusselostus'!T151</f>
        <v>Ei toimenpiteitä</v>
      </c>
      <c r="E160" s="22"/>
    </row>
    <row r="161" spans="1:5" x14ac:dyDescent="0.35">
      <c r="A161" s="13"/>
      <c r="B161" s="5" t="s">
        <v>21</v>
      </c>
      <c r="C161" s="277">
        <f>'Kustannusarvio|Rakennusselostus'!L152+'Kustannusarvio|Rakennusselostus'!P152</f>
        <v>0</v>
      </c>
      <c r="D161" s="276" t="str">
        <f>'Kustannusarvio|Rakennusselostus'!T152</f>
        <v>Ei toimenpiteitä</v>
      </c>
      <c r="E161" s="22"/>
    </row>
    <row r="162" spans="1:5" x14ac:dyDescent="0.35">
      <c r="A162" s="13"/>
      <c r="B162" s="5" t="s">
        <v>22</v>
      </c>
      <c r="C162" s="277">
        <f>'Kustannusarvio|Rakennusselostus'!L153+'Kustannusarvio|Rakennusselostus'!P153</f>
        <v>0</v>
      </c>
      <c r="D162" s="276" t="str">
        <f>'Kustannusarvio|Rakennusselostus'!T153</f>
        <v>Ei toimenpiteitä</v>
      </c>
      <c r="E162" s="22"/>
    </row>
    <row r="163" spans="1:5" x14ac:dyDescent="0.35">
      <c r="A163" s="13"/>
      <c r="B163" s="5" t="s">
        <v>180</v>
      </c>
      <c r="C163" s="277">
        <f>'Kustannusarvio|Rakennusselostus'!L154+'Kustannusarvio|Rakennusselostus'!P154</f>
        <v>0</v>
      </c>
      <c r="D163" s="276" t="str">
        <f>'Kustannusarvio|Rakennusselostus'!T154</f>
        <v>Ei toimenpiteitä</v>
      </c>
      <c r="E163" s="22"/>
    </row>
    <row r="164" spans="1:5" x14ac:dyDescent="0.35">
      <c r="A164" s="13"/>
      <c r="B164" s="5" t="s">
        <v>181</v>
      </c>
      <c r="C164" s="277">
        <f>'Kustannusarvio|Rakennusselostus'!L155+'Kustannusarvio|Rakennusselostus'!P155</f>
        <v>0</v>
      </c>
      <c r="D164" s="276" t="str">
        <f>'Kustannusarvio|Rakennusselostus'!T155</f>
        <v>Ei toimenpiteitä</v>
      </c>
      <c r="E164" s="22"/>
    </row>
    <row r="165" spans="1:5" x14ac:dyDescent="0.35">
      <c r="A165" s="13"/>
      <c r="B165" s="5" t="s">
        <v>251</v>
      </c>
      <c r="C165" s="277">
        <f>'Kustannusarvio|Rakennusselostus'!L156+'Kustannusarvio|Rakennusselostus'!P156</f>
        <v>0</v>
      </c>
      <c r="D165" s="276" t="str">
        <f>'Kustannusarvio|Rakennusselostus'!T156</f>
        <v>Ei toimenpiteitä</v>
      </c>
      <c r="E165" s="22"/>
    </row>
    <row r="166" spans="1:5" x14ac:dyDescent="0.35">
      <c r="A166" s="13"/>
      <c r="B166" s="52" t="s">
        <v>182</v>
      </c>
      <c r="C166" s="277">
        <f>'Kustannusarvio|Rakennusselostus'!L157+'Kustannusarvio|Rakennusselostus'!P157</f>
        <v>0</v>
      </c>
      <c r="D166" s="276" t="str">
        <f>'Kustannusarvio|Rakennusselostus'!T157</f>
        <v>Ei toimenpiteitä</v>
      </c>
      <c r="E166" s="22"/>
    </row>
    <row r="167" spans="1:5" x14ac:dyDescent="0.35">
      <c r="A167" s="13"/>
      <c r="B167" s="3" t="s">
        <v>23</v>
      </c>
      <c r="C167" s="277">
        <f>'Kustannusarvio|Rakennusselostus'!L158+'Kustannusarvio|Rakennusselostus'!P158</f>
        <v>0</v>
      </c>
      <c r="D167" s="276" t="str">
        <f>'Kustannusarvio|Rakennusselostus'!T158</f>
        <v>Ei toimenpiteitä</v>
      </c>
      <c r="E167" s="22"/>
    </row>
    <row r="168" spans="1:5" x14ac:dyDescent="0.35">
      <c r="A168" s="10" t="s">
        <v>110</v>
      </c>
      <c r="B168" s="30"/>
      <c r="C168" s="297"/>
      <c r="D168" s="298"/>
      <c r="E168" s="22"/>
    </row>
    <row r="169" spans="1:5" x14ac:dyDescent="0.35">
      <c r="A169" s="13"/>
      <c r="B169" s="3" t="s">
        <v>122</v>
      </c>
      <c r="C169" s="277">
        <f>'Kustannusarvio|Rakennusselostus'!L160+'Kustannusarvio|Rakennusselostus'!P160</f>
        <v>0</v>
      </c>
      <c r="D169" s="276" t="str">
        <f>'Kustannusarvio|Rakennusselostus'!T160</f>
        <v>Ei toimenpiteitä</v>
      </c>
      <c r="E169" s="22"/>
    </row>
    <row r="170" spans="1:5" x14ac:dyDescent="0.35">
      <c r="A170" s="13"/>
      <c r="B170" s="3" t="s">
        <v>123</v>
      </c>
      <c r="C170" s="277">
        <f>'Kustannusarvio|Rakennusselostus'!L161+'Kustannusarvio|Rakennusselostus'!P161</f>
        <v>0</v>
      </c>
      <c r="D170" s="276" t="str">
        <f>'Kustannusarvio|Rakennusselostus'!T161</f>
        <v>Ei toimenpiteitä</v>
      </c>
      <c r="E170" s="22"/>
    </row>
    <row r="171" spans="1:5" x14ac:dyDescent="0.35">
      <c r="A171" s="13"/>
      <c r="B171" s="3" t="s">
        <v>186</v>
      </c>
      <c r="C171" s="277">
        <f>'Kustannusarvio|Rakennusselostus'!L162+'Kustannusarvio|Rakennusselostus'!P162</f>
        <v>0</v>
      </c>
      <c r="D171" s="276" t="str">
        <f>'Kustannusarvio|Rakennusselostus'!T162</f>
        <v>Ei toimenpiteitä</v>
      </c>
      <c r="E171" s="22"/>
    </row>
    <row r="172" spans="1:5" x14ac:dyDescent="0.35">
      <c r="A172" s="13"/>
      <c r="B172" s="3" t="s">
        <v>183</v>
      </c>
      <c r="C172" s="277">
        <f>'Kustannusarvio|Rakennusselostus'!L163+'Kustannusarvio|Rakennusselostus'!P163</f>
        <v>0</v>
      </c>
      <c r="D172" s="276" t="str">
        <f>'Kustannusarvio|Rakennusselostus'!T163</f>
        <v>Ei toimenpiteitä</v>
      </c>
      <c r="E172" s="22"/>
    </row>
    <row r="173" spans="1:5" x14ac:dyDescent="0.35">
      <c r="A173" s="13"/>
      <c r="B173" s="3" t="s">
        <v>184</v>
      </c>
      <c r="C173" s="277">
        <f>'Kustannusarvio|Rakennusselostus'!L164+'Kustannusarvio|Rakennusselostus'!P164</f>
        <v>0</v>
      </c>
      <c r="D173" s="276" t="str">
        <f>'Kustannusarvio|Rakennusselostus'!T164</f>
        <v>Ei toimenpiteitä</v>
      </c>
      <c r="E173" s="22"/>
    </row>
    <row r="174" spans="1:5" x14ac:dyDescent="0.35">
      <c r="A174" s="13"/>
      <c r="B174" s="3" t="s">
        <v>185</v>
      </c>
      <c r="C174" s="277">
        <f>'Kustannusarvio|Rakennusselostus'!L165+'Kustannusarvio|Rakennusselostus'!P165</f>
        <v>0</v>
      </c>
      <c r="D174" s="276" t="str">
        <f>'Kustannusarvio|Rakennusselostus'!T165</f>
        <v>Ei toimenpiteitä</v>
      </c>
      <c r="E174" s="22"/>
    </row>
    <row r="175" spans="1:5" x14ac:dyDescent="0.35">
      <c r="A175" s="13"/>
      <c r="B175" s="3" t="s">
        <v>113</v>
      </c>
      <c r="C175" s="277">
        <f>'Kustannusarvio|Rakennusselostus'!L166+'Kustannusarvio|Rakennusselostus'!P166</f>
        <v>0</v>
      </c>
      <c r="D175" s="276" t="str">
        <f>'Kustannusarvio|Rakennusselostus'!T166</f>
        <v>Ei toimenpiteitä</v>
      </c>
      <c r="E175" s="22"/>
    </row>
    <row r="176" spans="1:5" x14ac:dyDescent="0.35">
      <c r="A176" s="13"/>
      <c r="B176" s="14" t="str">
        <f>SUBSTITUTE(IF('Kustannusarvio|Rakennusselostus'!C167="",'Kustannusarvio|Rakennusselostus'!B167,'Kustannusarvio|Rakennusselostus'!C167),":","")</f>
        <v>Muu energiakorjaus</v>
      </c>
      <c r="C176" s="277">
        <f>'Kustannusarvio|Rakennusselostus'!L167+'Kustannusarvio|Rakennusselostus'!P167</f>
        <v>0</v>
      </c>
      <c r="D176" s="276" t="str">
        <f>'Kustannusarvio|Rakennusselostus'!T167</f>
        <v>Ei toimenpiteitä</v>
      </c>
      <c r="E176" s="22"/>
    </row>
    <row r="177" spans="1:5" x14ac:dyDescent="0.35">
      <c r="A177" s="44" t="s">
        <v>171</v>
      </c>
      <c r="B177" s="51"/>
      <c r="C177" s="46"/>
      <c r="D177" s="149"/>
      <c r="E177" s="22"/>
    </row>
    <row r="178" spans="1:5" x14ac:dyDescent="0.35">
      <c r="A178" s="13"/>
      <c r="B178" s="6" t="s">
        <v>172</v>
      </c>
      <c r="C178" s="277">
        <f>'Kustannusarvio|Rakennusselostus'!L169+'Kustannusarvio|Rakennusselostus'!P169</f>
        <v>0</v>
      </c>
      <c r="D178" s="276" t="str">
        <f>'Kustannusarvio|Rakennusselostus'!T169</f>
        <v>Ei toimenpiteitä</v>
      </c>
      <c r="E178" s="22"/>
    </row>
    <row r="179" spans="1:5" x14ac:dyDescent="0.35">
      <c r="A179" s="13"/>
      <c r="B179" s="2" t="s">
        <v>174</v>
      </c>
      <c r="C179" s="277">
        <f>'Kustannusarvio|Rakennusselostus'!L170+'Kustannusarvio|Rakennusselostus'!P170</f>
        <v>0</v>
      </c>
      <c r="D179" s="276" t="str">
        <f>'Kustannusarvio|Rakennusselostus'!T170</f>
        <v>Ei toimenpiteitä</v>
      </c>
      <c r="E179" s="22"/>
    </row>
    <row r="180" spans="1:5" x14ac:dyDescent="0.35">
      <c r="A180" s="13"/>
      <c r="B180" s="2" t="s">
        <v>24</v>
      </c>
      <c r="C180" s="277">
        <f>'Kustannusarvio|Rakennusselostus'!L171+'Kustannusarvio|Rakennusselostus'!P171</f>
        <v>0</v>
      </c>
      <c r="D180" s="276" t="str">
        <f>'Kustannusarvio|Rakennusselostus'!T171</f>
        <v>Ei toimenpiteitä</v>
      </c>
      <c r="E180" s="22"/>
    </row>
    <row r="181" spans="1:5" x14ac:dyDescent="0.35">
      <c r="A181" s="13"/>
      <c r="B181" s="2" t="s">
        <v>25</v>
      </c>
      <c r="C181" s="277">
        <f>'Kustannusarvio|Rakennusselostus'!L172+'Kustannusarvio|Rakennusselostus'!P172</f>
        <v>0</v>
      </c>
      <c r="D181" s="276" t="str">
        <f>'Kustannusarvio|Rakennusselostus'!T172</f>
        <v>Ei toimenpiteitä</v>
      </c>
      <c r="E181" s="22"/>
    </row>
    <row r="182" spans="1:5" x14ac:dyDescent="0.35">
      <c r="A182" s="13"/>
      <c r="B182" s="2" t="s">
        <v>173</v>
      </c>
      <c r="C182" s="277">
        <f>'Kustannusarvio|Rakennusselostus'!L173+'Kustannusarvio|Rakennusselostus'!P173</f>
        <v>0</v>
      </c>
      <c r="D182" s="276" t="str">
        <f>'Kustannusarvio|Rakennusselostus'!T173</f>
        <v>Ei toimenpiteitä</v>
      </c>
      <c r="E182" s="22"/>
    </row>
    <row r="183" spans="1:5" x14ac:dyDescent="0.35">
      <c r="A183" s="13"/>
      <c r="B183" s="7" t="s">
        <v>175</v>
      </c>
      <c r="C183" s="277">
        <f>'Kustannusarvio|Rakennusselostus'!L174+'Kustannusarvio|Rakennusselostus'!P174</f>
        <v>0</v>
      </c>
      <c r="D183" s="276" t="str">
        <f>'Kustannusarvio|Rakennusselostus'!T174</f>
        <v>Ei toimenpiteitä</v>
      </c>
      <c r="E183" s="22"/>
    </row>
    <row r="184" spans="1:5" x14ac:dyDescent="0.35">
      <c r="A184" s="13"/>
      <c r="B184" s="2" t="s">
        <v>170</v>
      </c>
      <c r="C184" s="277">
        <f>'Kustannusarvio|Rakennusselostus'!L175+'Kustannusarvio|Rakennusselostus'!P175</f>
        <v>0</v>
      </c>
      <c r="D184" s="276" t="str">
        <f>'Kustannusarvio|Rakennusselostus'!T175</f>
        <v>Ei toimenpiteitä</v>
      </c>
      <c r="E184" s="22"/>
    </row>
    <row r="185" spans="1:5" x14ac:dyDescent="0.35">
      <c r="A185" s="13"/>
      <c r="B185" s="89" t="str">
        <f>SUBSTITUTE(IF('Kustannusarvio|Rakennusselostus'!C176="",'Kustannusarvio|Rakennusselostus'!B176,'Kustannusarvio|Rakennusselostus'!C176),":","")</f>
        <v>Muu tuote tai palvelu</v>
      </c>
      <c r="C185" s="277">
        <f>'Kustannusarvio|Rakennusselostus'!L176+'Kustannusarvio|Rakennusselostus'!P176</f>
        <v>0</v>
      </c>
      <c r="D185" s="276" t="str">
        <f>'Kustannusarvio|Rakennusselostus'!T176</f>
        <v>Ei toimenpiteitä</v>
      </c>
      <c r="E185" s="22"/>
    </row>
    <row r="186" spans="1:5" x14ac:dyDescent="0.35">
      <c r="A186" s="13"/>
      <c r="B186" s="89" t="str">
        <f>SUBSTITUTE(IF('Kustannusarvio|Rakennusselostus'!C177="",'Kustannusarvio|Rakennusselostus'!B177,'Kustannusarvio|Rakennusselostus'!C177),":","")</f>
        <v>Muu tuote tai palvelu</v>
      </c>
      <c r="C186" s="277">
        <f>'Kustannusarvio|Rakennusselostus'!L177+'Kustannusarvio|Rakennusselostus'!P177</f>
        <v>0</v>
      </c>
      <c r="D186" s="276" t="str">
        <f>'Kustannusarvio|Rakennusselostus'!T177</f>
        <v>Ei toimenpiteitä</v>
      </c>
      <c r="E186" s="22"/>
    </row>
    <row r="187" spans="1:5" x14ac:dyDescent="0.35">
      <c r="A187" s="13"/>
      <c r="B187" s="89" t="str">
        <f>SUBSTITUTE(IF('Kustannusarvio|Rakennusselostus'!C178="",'Kustannusarvio|Rakennusselostus'!B178,'Kustannusarvio|Rakennusselostus'!C178),":","")</f>
        <v>Muu tuote tai palvelu</v>
      </c>
      <c r="C187" s="277">
        <f>'Kustannusarvio|Rakennusselostus'!L178+'Kustannusarvio|Rakennusselostus'!P178</f>
        <v>0</v>
      </c>
      <c r="D187" s="276" t="str">
        <f>'Kustannusarvio|Rakennusselostus'!T178</f>
        <v>Ei toimenpiteitä</v>
      </c>
      <c r="E187" s="22"/>
    </row>
    <row r="188" spans="1:5" ht="15" thickBot="1" x14ac:dyDescent="0.4">
      <c r="A188" s="13"/>
      <c r="B188" s="89" t="str">
        <f>SUBSTITUTE(IF('Kustannusarvio|Rakennusselostus'!C179="",'Kustannusarvio|Rakennusselostus'!B179,'Kustannusarvio|Rakennusselostus'!C179),":","")</f>
        <v>Muu tuote tai palvelu</v>
      </c>
      <c r="C188" s="278">
        <f>'Kustannusarvio|Rakennusselostus'!L179+'Kustannusarvio|Rakennusselostus'!P179</f>
        <v>0</v>
      </c>
      <c r="D188" s="276" t="str">
        <f>'Kustannusarvio|Rakennusselostus'!T179</f>
        <v>Ei toimenpiteitä</v>
      </c>
      <c r="E188" s="22"/>
    </row>
    <row r="189" spans="1:5" ht="15" thickTop="1" x14ac:dyDescent="0.35">
      <c r="B189" s="308" t="s">
        <v>252</v>
      </c>
      <c r="C189" s="122">
        <f>SUM(C17:C188)</f>
        <v>0</v>
      </c>
    </row>
  </sheetData>
  <sheetProtection algorithmName="SHA-512" hashValue="xh9WH52IzqSJruyhMN99K1q8rAlD1M3fuUC23v+D8g7r6MGTpMlsFIsF0mlS/W4ivZ1CIimMhCpVlfIIKig+MQ==" saltValue="+Z92odzF8JbrjPucFanYnQ==" spinCount="100000" sheet="1" objects="1" scenarios="1" formatCells="0" selectLockedCells="1"/>
  <mergeCells count="11">
    <mergeCell ref="C2:D2"/>
    <mergeCell ref="C9:D9"/>
    <mergeCell ref="C10:D10"/>
    <mergeCell ref="C11:D11"/>
    <mergeCell ref="C12:D12"/>
    <mergeCell ref="C3:D3"/>
    <mergeCell ref="C4:D4"/>
    <mergeCell ref="C5:D5"/>
    <mergeCell ref="C6:D6"/>
    <mergeCell ref="C7:D7"/>
    <mergeCell ref="C8:D8"/>
  </mergeCells>
  <pageMargins left="0.70866141732283472" right="0.70866141732283472" top="0.74803149606299213" bottom="0.74803149606299213" header="0.31496062992125984" footer="0.31496062992125984"/>
  <pageSetup paperSize="9" scale="37" orientation="portrait" r:id="rId1"/>
  <rowBreaks count="2" manualBreakCount="2">
    <brk id="77" max="4" man="1"/>
    <brk id="148" max="4" man="1"/>
  </rowBreak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criptIds xmlns="http://schemas.microsoft.com/office/extensibility/maker/v1.0" id="script-ids-node-id">
  <scriptId id="ms-officescript%3A%2F%2Fonedrive_business_itemlink%2F01FS2DWTRBMGV27J3BA5A3MC5IXGEMR3QG:ms-officescript%3A%2F%2Fonedrive_business_sharinglink%2Fu!aHR0cHM6Ly9wcmltYW5ldG95LW15LnNoYXJlcG9pbnQuY29tLzp1Oi9nL3BlcnNvbmFsL2phYWtrb19rb3Job25lbl9wcmltYW5ldF9maS9FU0ZocTYtbllRZEJ0Z3VvdVlqSTdnWUJjcGJYSkJhSEFVXzhmU3pZcmstcGVn"/>
</scriptIds>
</file>

<file path=customXml/itemProps1.xml><?xml version="1.0" encoding="utf-8"?>
<ds:datastoreItem xmlns:ds="http://schemas.openxmlformats.org/officeDocument/2006/customXml" ds:itemID="{E396472E-048D-4E1C-8285-A950D1B200BE}">
  <ds:schemaRefs>
    <ds:schemaRef ds:uri="http://schemas.microsoft.com/office/extensibility/maker/v1.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6</vt:i4>
      </vt:variant>
      <vt:variant>
        <vt:lpstr>Nimetyt alueet</vt:lpstr>
      </vt:variant>
      <vt:variant>
        <vt:i4>12</vt:i4>
      </vt:variant>
    </vt:vector>
  </HeadingPairs>
  <TitlesOfParts>
    <vt:vector size="18" baseType="lpstr">
      <vt:lpstr>Ohje</vt:lpstr>
      <vt:lpstr>Hankkeen tiedot</vt:lpstr>
      <vt:lpstr>Kustannusarvio|Rakennusselostus</vt:lpstr>
      <vt:lpstr>Kustannusarvion koonti</vt:lpstr>
      <vt:lpstr>Talkootyön koonti</vt:lpstr>
      <vt:lpstr>Rakennusselostus koonti</vt:lpstr>
      <vt:lpstr>'Kustannusarvio|Rakennusselostus'!Print_Area</vt:lpstr>
      <vt:lpstr>'Kustannusarvio|Rakennusselostus'!Print_Titles</vt:lpstr>
      <vt:lpstr>'Hankkeen tiedot'!Tulostusalue</vt:lpstr>
      <vt:lpstr>'Kustannusarvio|Rakennusselostus'!Tulostusalue</vt:lpstr>
      <vt:lpstr>'Kustannusarvion koonti'!Tulostusalue</vt:lpstr>
      <vt:lpstr>Ohje!Tulostusalue</vt:lpstr>
      <vt:lpstr>'Rakennusselostus koonti'!Tulostusalue</vt:lpstr>
      <vt:lpstr>'Talkootyön koonti'!Tulostusalue</vt:lpstr>
      <vt:lpstr>'Kustannusarvio|Rakennusselostus'!Tulostusotsikot</vt:lpstr>
      <vt:lpstr>'Kustannusarvion koonti'!Tulostusotsikot</vt:lpstr>
      <vt:lpstr>'Rakennusselostus koonti'!Tulostusotsikot</vt:lpstr>
      <vt:lpstr>'Talkootyön koonti'!Tulostusotsikot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Omistaja</dc:creator>
  <cp:lastModifiedBy>Hannu Rinne</cp:lastModifiedBy>
  <cp:lastPrinted>2024-08-06T10:57:20Z</cp:lastPrinted>
  <dcterms:created xsi:type="dcterms:W3CDTF">2023-05-29T06:31:52Z</dcterms:created>
  <dcterms:modified xsi:type="dcterms:W3CDTF">2024-11-21T07:08:33Z</dcterms:modified>
</cp:coreProperties>
</file>