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okaira-my.sharepoint.com/personal/hannu_rinne_outokaira_fi/Documents/Vasara ja nauloja/Kustannusarviot/Kustannusarviolomakkeet_VaNa/Pienrakentaminen/"/>
    </mc:Choice>
  </mc:AlternateContent>
  <xr:revisionPtr revIDLastSave="12" documentId="8_{ADEB0382-9732-4603-993E-C1016F99EF38}" xr6:coauthVersionLast="47" xr6:coauthVersionMax="47" xr10:uidLastSave="{1326BE2C-F1E5-4C44-B121-2B48072D8640}"/>
  <bookViews>
    <workbookView xWindow="-28920" yWindow="-120" windowWidth="29040" windowHeight="15720" tabRatio="659" activeTab="2" xr2:uid="{B40DE904-EFDB-44B5-9358-12A984219A63}"/>
  </bookViews>
  <sheets>
    <sheet name="Ohje" sheetId="7" r:id="rId1"/>
    <sheet name="Hankkeen tiedot" sheetId="5" r:id="rId2"/>
    <sheet name="Kustannusarvio|Rakennusselostus" sheetId="1" r:id="rId3"/>
    <sheet name="Kustannusarvion koonti" sheetId="6" r:id="rId4"/>
    <sheet name="Talkootyön koonti" sheetId="4" r:id="rId5"/>
    <sheet name="Rakennusselostus koonti" sheetId="3" r:id="rId6"/>
  </sheets>
  <definedNames>
    <definedName name="Print_Area" localSheetId="1">'Hankkeen tiedot'!$A$1:$E$39</definedName>
    <definedName name="Print_Area" localSheetId="2">'Kustannusarvio|Rakennusselostus'!$A$1:$T$204</definedName>
    <definedName name="Print_Area" localSheetId="3">'Kustannusarvion koonti'!$A$1:$K$243</definedName>
    <definedName name="Print_Area" localSheetId="5">'Rakennusselostus koonti'!$A$1:$E$180</definedName>
    <definedName name="Print_Area" localSheetId="4">'Talkootyön koonti'!$A$1:$H$206</definedName>
    <definedName name="Print_Titles" localSheetId="2">'Kustannusarvio|Rakennusselostus'!$5:$6</definedName>
    <definedName name="Print_Titles" localSheetId="3">'Kustannusarvion koonti'!$11:$11</definedName>
    <definedName name="Print_Titles" localSheetId="4">'Talkootyön koonti'!$6:$6</definedName>
    <definedName name="_xlnm.Print_Area" localSheetId="2">'Kustannusarvio|Rakennusselostus'!$A$1:$T$167</definedName>
    <definedName name="_xlnm.Print_Area" localSheetId="3">'Kustannusarvion koonti'!$A:$P</definedName>
    <definedName name="_xlnm.Print_Area" localSheetId="0">Ohje!$A$1:$H$203</definedName>
    <definedName name="_xlnm.Print_Area" localSheetId="5">'Rakennusselostus koonti'!$A:$E</definedName>
    <definedName name="_xlnm.Print_Area" localSheetId="4">'Talkootyön koonti'!$A:$H</definedName>
    <definedName name="_xlnm.Print_Titles" localSheetId="5">'Rakennusselostus koonti'!$14:$14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4" i="3" l="1"/>
  <c r="B155" i="3"/>
  <c r="B156" i="3"/>
  <c r="B153" i="3"/>
  <c r="B143" i="3"/>
  <c r="B123" i="3"/>
  <c r="B124" i="3"/>
  <c r="B122" i="3"/>
  <c r="B115" i="3"/>
  <c r="B116" i="3"/>
  <c r="B114" i="3"/>
  <c r="B104" i="3"/>
  <c r="B96" i="3"/>
  <c r="B95" i="3"/>
  <c r="B88" i="3"/>
  <c r="B87" i="3"/>
  <c r="B79" i="3"/>
  <c r="B80" i="3"/>
  <c r="B81" i="3"/>
  <c r="B78" i="3"/>
  <c r="B69" i="3"/>
  <c r="B68" i="3"/>
  <c r="B54" i="3"/>
  <c r="B46" i="3"/>
  <c r="B45" i="3"/>
  <c r="B26" i="3"/>
  <c r="B25" i="3"/>
  <c r="B145" i="4"/>
  <c r="B146" i="4"/>
  <c r="B147" i="4"/>
  <c r="B144" i="4"/>
  <c r="B134" i="4"/>
  <c r="B114" i="4"/>
  <c r="B115" i="4"/>
  <c r="B113" i="4"/>
  <c r="B106" i="4"/>
  <c r="B107" i="4"/>
  <c r="B105" i="4"/>
  <c r="B95" i="4"/>
  <c r="B87" i="4"/>
  <c r="B86" i="4"/>
  <c r="B79" i="4"/>
  <c r="B78" i="4"/>
  <c r="B70" i="4"/>
  <c r="B71" i="4"/>
  <c r="B72" i="4"/>
  <c r="B69" i="4"/>
  <c r="B60" i="4"/>
  <c r="B59" i="4"/>
  <c r="B45" i="4"/>
  <c r="B37" i="4"/>
  <c r="B36" i="4"/>
  <c r="B17" i="4"/>
  <c r="B16" i="4"/>
  <c r="B150" i="6"/>
  <c r="B151" i="6"/>
  <c r="B152" i="6"/>
  <c r="B149" i="6"/>
  <c r="B139" i="6"/>
  <c r="B119" i="6"/>
  <c r="B120" i="6"/>
  <c r="B118" i="6"/>
  <c r="B111" i="6"/>
  <c r="B112" i="6"/>
  <c r="B110" i="6"/>
  <c r="B100" i="6"/>
  <c r="B92" i="6"/>
  <c r="B91" i="6"/>
  <c r="B84" i="6"/>
  <c r="B83" i="6"/>
  <c r="B75" i="6"/>
  <c r="B76" i="6"/>
  <c r="B77" i="6"/>
  <c r="B74" i="6"/>
  <c r="B65" i="6"/>
  <c r="B64" i="6"/>
  <c r="B50" i="6"/>
  <c r="B42" i="6"/>
  <c r="B41" i="6"/>
  <c r="B22" i="6"/>
  <c r="B21" i="6"/>
  <c r="N4" i="1"/>
  <c r="N3" i="1"/>
  <c r="B147" i="1"/>
  <c r="B146" i="1"/>
  <c r="B145" i="1"/>
  <c r="B144" i="1"/>
  <c r="B134" i="1"/>
  <c r="B115" i="1"/>
  <c r="B114" i="1"/>
  <c r="B113" i="1"/>
  <c r="B107" i="1"/>
  <c r="B106" i="1"/>
  <c r="B105" i="1"/>
  <c r="B95" i="1"/>
  <c r="B87" i="1"/>
  <c r="B86" i="1"/>
  <c r="B79" i="1"/>
  <c r="B78" i="1"/>
  <c r="B72" i="1"/>
  <c r="B71" i="1"/>
  <c r="B70" i="1"/>
  <c r="B69" i="1"/>
  <c r="B60" i="1"/>
  <c r="B59" i="1"/>
  <c r="B45" i="1"/>
  <c r="B37" i="1"/>
  <c r="B36" i="1"/>
  <c r="B17" i="1"/>
  <c r="B16" i="1"/>
  <c r="B141" i="1" l="1"/>
  <c r="B140" i="1"/>
  <c r="B139" i="1"/>
  <c r="B138" i="1"/>
  <c r="B137" i="1"/>
  <c r="B136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2" i="1"/>
  <c r="B111" i="1"/>
  <c r="B110" i="1"/>
  <c r="B109" i="1"/>
  <c r="B104" i="1"/>
  <c r="B103" i="1"/>
  <c r="B102" i="1"/>
  <c r="B101" i="1"/>
  <c r="B100" i="1"/>
  <c r="B99" i="1"/>
  <c r="B98" i="1"/>
  <c r="B97" i="1"/>
  <c r="B94" i="1"/>
  <c r="B93" i="1"/>
  <c r="B92" i="1"/>
  <c r="B91" i="1"/>
  <c r="B90" i="1"/>
  <c r="B89" i="1"/>
  <c r="B85" i="1"/>
  <c r="B84" i="1"/>
  <c r="B83" i="1"/>
  <c r="B82" i="1"/>
  <c r="B81" i="1"/>
  <c r="B77" i="1"/>
  <c r="B76" i="1"/>
  <c r="B75" i="1"/>
  <c r="B74" i="1"/>
  <c r="B68" i="1"/>
  <c r="B67" i="1"/>
  <c r="B66" i="1"/>
  <c r="B65" i="1"/>
  <c r="B64" i="1"/>
  <c r="B63" i="1"/>
  <c r="B62" i="1"/>
  <c r="B58" i="1"/>
  <c r="B57" i="1"/>
  <c r="B56" i="1"/>
  <c r="B55" i="1"/>
  <c r="B54" i="1"/>
  <c r="B53" i="1"/>
  <c r="B52" i="1"/>
  <c r="B51" i="1"/>
  <c r="B50" i="1"/>
  <c r="B49" i="1"/>
  <c r="B48" i="1"/>
  <c r="B47" i="1"/>
  <c r="B44" i="1"/>
  <c r="B43" i="1"/>
  <c r="B42" i="1"/>
  <c r="B41" i="1"/>
  <c r="B40" i="1"/>
  <c r="B35" i="1"/>
  <c r="B34" i="1"/>
  <c r="B33" i="1"/>
  <c r="B32" i="1"/>
  <c r="B31" i="1"/>
  <c r="B29" i="1"/>
  <c r="B30" i="1"/>
  <c r="B28" i="1"/>
  <c r="B27" i="1"/>
  <c r="B26" i="1"/>
  <c r="B25" i="1"/>
  <c r="B24" i="1"/>
  <c r="B23" i="1"/>
  <c r="B22" i="1"/>
  <c r="B21" i="1"/>
  <c r="B15" i="1"/>
  <c r="B14" i="1"/>
  <c r="B13" i="1"/>
  <c r="B11" i="1"/>
  <c r="J160" i="6" l="1"/>
  <c r="J159" i="6"/>
  <c r="C13" i="6"/>
  <c r="G139" i="4" l="1"/>
  <c r="C31" i="6"/>
  <c r="G9" i="4"/>
  <c r="G10" i="4"/>
  <c r="G11" i="4"/>
  <c r="G12" i="4"/>
  <c r="G13" i="4"/>
  <c r="G14" i="4"/>
  <c r="G15" i="4"/>
  <c r="G16" i="4"/>
  <c r="G17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40" i="4"/>
  <c r="G41" i="4"/>
  <c r="G42" i="4"/>
  <c r="G43" i="4"/>
  <c r="G44" i="4"/>
  <c r="G45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2" i="4"/>
  <c r="G63" i="4"/>
  <c r="G64" i="4"/>
  <c r="G65" i="4"/>
  <c r="G66" i="4"/>
  <c r="G67" i="4"/>
  <c r="G68" i="4"/>
  <c r="G69" i="4"/>
  <c r="G70" i="4"/>
  <c r="G71" i="4"/>
  <c r="G72" i="4"/>
  <c r="G74" i="4"/>
  <c r="G75" i="4"/>
  <c r="G76" i="4"/>
  <c r="G77" i="4"/>
  <c r="G78" i="4"/>
  <c r="G79" i="4"/>
  <c r="G81" i="4"/>
  <c r="G82" i="4"/>
  <c r="G83" i="4"/>
  <c r="G84" i="4"/>
  <c r="G85" i="4"/>
  <c r="G86" i="4"/>
  <c r="G87" i="4"/>
  <c r="G89" i="4"/>
  <c r="G90" i="4"/>
  <c r="G91" i="4"/>
  <c r="G92" i="4"/>
  <c r="G93" i="4"/>
  <c r="G94" i="4"/>
  <c r="G95" i="4"/>
  <c r="G97" i="4"/>
  <c r="G98" i="4"/>
  <c r="G99" i="4"/>
  <c r="G100" i="4"/>
  <c r="G101" i="4"/>
  <c r="G102" i="4"/>
  <c r="G103" i="4"/>
  <c r="G104" i="4"/>
  <c r="G105" i="4"/>
  <c r="G106" i="4"/>
  <c r="G107" i="4"/>
  <c r="G109" i="4"/>
  <c r="G110" i="4"/>
  <c r="G111" i="4"/>
  <c r="G112" i="4"/>
  <c r="G113" i="4"/>
  <c r="G114" i="4"/>
  <c r="G115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6" i="4"/>
  <c r="G137" i="4"/>
  <c r="G138" i="4"/>
  <c r="G140" i="4"/>
  <c r="G141" i="4"/>
  <c r="G142" i="4"/>
  <c r="G143" i="4"/>
  <c r="G144" i="4"/>
  <c r="G145" i="4"/>
  <c r="G146" i="4"/>
  <c r="G147" i="4"/>
  <c r="F9" i="4"/>
  <c r="F10" i="4"/>
  <c r="F11" i="4"/>
  <c r="F12" i="4"/>
  <c r="F13" i="4"/>
  <c r="F14" i="4"/>
  <c r="F15" i="4"/>
  <c r="F16" i="4"/>
  <c r="F17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40" i="4"/>
  <c r="F41" i="4"/>
  <c r="F42" i="4"/>
  <c r="F43" i="4"/>
  <c r="F44" i="4"/>
  <c r="F45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2" i="4"/>
  <c r="F63" i="4"/>
  <c r="F64" i="4"/>
  <c r="F65" i="4"/>
  <c r="F66" i="4"/>
  <c r="F67" i="4"/>
  <c r="F68" i="4"/>
  <c r="F69" i="4"/>
  <c r="F70" i="4"/>
  <c r="F71" i="4"/>
  <c r="F72" i="4"/>
  <c r="F74" i="4"/>
  <c r="F75" i="4"/>
  <c r="F76" i="4"/>
  <c r="F77" i="4"/>
  <c r="F78" i="4"/>
  <c r="F79" i="4"/>
  <c r="F81" i="4"/>
  <c r="F82" i="4"/>
  <c r="F83" i="4"/>
  <c r="F84" i="4"/>
  <c r="F85" i="4"/>
  <c r="F86" i="4"/>
  <c r="F87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9" i="4"/>
  <c r="F110" i="4"/>
  <c r="F111" i="4"/>
  <c r="F112" i="4"/>
  <c r="F113" i="4"/>
  <c r="F114" i="4"/>
  <c r="F115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D9" i="4"/>
  <c r="D10" i="4"/>
  <c r="D11" i="4"/>
  <c r="D12" i="4"/>
  <c r="D13" i="4"/>
  <c r="D14" i="4"/>
  <c r="D15" i="4"/>
  <c r="D16" i="4"/>
  <c r="D17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40" i="4"/>
  <c r="D41" i="4"/>
  <c r="D42" i="4"/>
  <c r="D43" i="4"/>
  <c r="D44" i="4"/>
  <c r="D45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2" i="4"/>
  <c r="D63" i="4"/>
  <c r="D64" i="4"/>
  <c r="D65" i="4"/>
  <c r="D66" i="4"/>
  <c r="D67" i="4"/>
  <c r="D68" i="4"/>
  <c r="D69" i="4"/>
  <c r="D70" i="4"/>
  <c r="D71" i="4"/>
  <c r="D72" i="4"/>
  <c r="D74" i="4"/>
  <c r="D75" i="4"/>
  <c r="D76" i="4"/>
  <c r="D77" i="4"/>
  <c r="D78" i="4"/>
  <c r="D79" i="4"/>
  <c r="D81" i="4"/>
  <c r="D82" i="4"/>
  <c r="D83" i="4"/>
  <c r="D84" i="4"/>
  <c r="D85" i="4"/>
  <c r="D86" i="4"/>
  <c r="D87" i="4"/>
  <c r="D89" i="4"/>
  <c r="D90" i="4"/>
  <c r="D91" i="4"/>
  <c r="D92" i="4"/>
  <c r="D93" i="4"/>
  <c r="D94" i="4"/>
  <c r="D95" i="4"/>
  <c r="D97" i="4"/>
  <c r="D98" i="4"/>
  <c r="D99" i="4"/>
  <c r="D100" i="4"/>
  <c r="D101" i="4"/>
  <c r="D102" i="4"/>
  <c r="D103" i="4"/>
  <c r="D104" i="4"/>
  <c r="D105" i="4"/>
  <c r="D106" i="4"/>
  <c r="D107" i="4"/>
  <c r="D109" i="4"/>
  <c r="D110" i="4"/>
  <c r="D111" i="4"/>
  <c r="D112" i="4"/>
  <c r="D113" i="4"/>
  <c r="D114" i="4"/>
  <c r="D115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C139" i="4"/>
  <c r="C140" i="4"/>
  <c r="C141" i="4"/>
  <c r="C142" i="4"/>
  <c r="C143" i="4"/>
  <c r="C144" i="4"/>
  <c r="C145" i="4"/>
  <c r="C146" i="4"/>
  <c r="C147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E34" i="4" s="1"/>
  <c r="C35" i="4"/>
  <c r="C36" i="4"/>
  <c r="C37" i="4"/>
  <c r="C40" i="4"/>
  <c r="C41" i="4"/>
  <c r="C42" i="4"/>
  <c r="C43" i="4"/>
  <c r="C44" i="4"/>
  <c r="C45" i="4"/>
  <c r="C47" i="4"/>
  <c r="C48" i="4"/>
  <c r="C49" i="4"/>
  <c r="C50" i="4"/>
  <c r="C51" i="4"/>
  <c r="C52" i="4"/>
  <c r="C53" i="4"/>
  <c r="E53" i="4" s="1"/>
  <c r="C54" i="4"/>
  <c r="C55" i="4"/>
  <c r="C56" i="4"/>
  <c r="C57" i="4"/>
  <c r="C58" i="4"/>
  <c r="C59" i="4"/>
  <c r="C60" i="4"/>
  <c r="C62" i="4"/>
  <c r="C63" i="4"/>
  <c r="C64" i="4"/>
  <c r="C65" i="4"/>
  <c r="C66" i="4"/>
  <c r="C67" i="4"/>
  <c r="C68" i="4"/>
  <c r="C69" i="4"/>
  <c r="C70" i="4"/>
  <c r="E70" i="4" s="1"/>
  <c r="C71" i="4"/>
  <c r="C72" i="4"/>
  <c r="C74" i="4"/>
  <c r="C75" i="4"/>
  <c r="C76" i="4"/>
  <c r="C77" i="4"/>
  <c r="C78" i="4"/>
  <c r="C79" i="4"/>
  <c r="C81" i="4"/>
  <c r="C82" i="4"/>
  <c r="C83" i="4"/>
  <c r="C84" i="4"/>
  <c r="C85" i="4"/>
  <c r="C86" i="4"/>
  <c r="C87" i="4"/>
  <c r="C89" i="4"/>
  <c r="E89" i="4" s="1"/>
  <c r="C90" i="4"/>
  <c r="C91" i="4"/>
  <c r="C92" i="4"/>
  <c r="C93" i="4"/>
  <c r="C94" i="4"/>
  <c r="C95" i="4"/>
  <c r="C97" i="4"/>
  <c r="C98" i="4"/>
  <c r="C99" i="4"/>
  <c r="C100" i="4"/>
  <c r="C101" i="4"/>
  <c r="C102" i="4"/>
  <c r="C103" i="4"/>
  <c r="C104" i="4"/>
  <c r="C105" i="4"/>
  <c r="C106" i="4"/>
  <c r="E106" i="4" s="1"/>
  <c r="C107" i="4"/>
  <c r="C109" i="4"/>
  <c r="C110" i="4"/>
  <c r="C111" i="4"/>
  <c r="C112" i="4"/>
  <c r="C113" i="4"/>
  <c r="C114" i="4"/>
  <c r="C115" i="4"/>
  <c r="C118" i="4"/>
  <c r="C119" i="4"/>
  <c r="C120" i="4"/>
  <c r="C121" i="4"/>
  <c r="C122" i="4"/>
  <c r="C123" i="4"/>
  <c r="C124" i="4"/>
  <c r="C125" i="4"/>
  <c r="E125" i="4" s="1"/>
  <c r="C126" i="4"/>
  <c r="C127" i="4"/>
  <c r="C128" i="4"/>
  <c r="C129" i="4"/>
  <c r="C130" i="4"/>
  <c r="C131" i="4"/>
  <c r="C132" i="4"/>
  <c r="C133" i="4"/>
  <c r="C134" i="4"/>
  <c r="C136" i="4"/>
  <c r="C137" i="4"/>
  <c r="C138" i="4"/>
  <c r="C9" i="4"/>
  <c r="C10" i="4"/>
  <c r="C11" i="4"/>
  <c r="C12" i="4"/>
  <c r="C13" i="4"/>
  <c r="C14" i="4"/>
  <c r="C15" i="4"/>
  <c r="C16" i="4"/>
  <c r="C17" i="4"/>
  <c r="J14" i="6"/>
  <c r="J15" i="6"/>
  <c r="J16" i="6"/>
  <c r="J17" i="6"/>
  <c r="J18" i="6"/>
  <c r="J19" i="6"/>
  <c r="J20" i="6"/>
  <c r="J21" i="6"/>
  <c r="J22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5" i="6"/>
  <c r="J46" i="6"/>
  <c r="J47" i="6"/>
  <c r="J48" i="6"/>
  <c r="J49" i="6"/>
  <c r="J50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7" i="6"/>
  <c r="J68" i="6"/>
  <c r="J69" i="6"/>
  <c r="J70" i="6"/>
  <c r="J71" i="6"/>
  <c r="J72" i="6"/>
  <c r="J73" i="6"/>
  <c r="J74" i="6"/>
  <c r="J75" i="6"/>
  <c r="J76" i="6"/>
  <c r="J77" i="6"/>
  <c r="J79" i="6"/>
  <c r="J80" i="6"/>
  <c r="J81" i="6"/>
  <c r="J82" i="6"/>
  <c r="J83" i="6"/>
  <c r="J84" i="6"/>
  <c r="J86" i="6"/>
  <c r="J87" i="6"/>
  <c r="J88" i="6"/>
  <c r="J89" i="6"/>
  <c r="J90" i="6"/>
  <c r="J91" i="6"/>
  <c r="J92" i="6"/>
  <c r="J94" i="6"/>
  <c r="J95" i="6"/>
  <c r="J96" i="6"/>
  <c r="J97" i="6"/>
  <c r="J98" i="6"/>
  <c r="J99" i="6"/>
  <c r="J100" i="6"/>
  <c r="J102" i="6"/>
  <c r="J103" i="6"/>
  <c r="J104" i="6"/>
  <c r="J105" i="6"/>
  <c r="J106" i="6"/>
  <c r="J107" i="6"/>
  <c r="J108" i="6"/>
  <c r="J109" i="6"/>
  <c r="J110" i="6"/>
  <c r="J111" i="6"/>
  <c r="J112" i="6"/>
  <c r="J114" i="6"/>
  <c r="J115" i="6"/>
  <c r="J116" i="6"/>
  <c r="J117" i="6"/>
  <c r="J118" i="6"/>
  <c r="J119" i="6"/>
  <c r="J120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I14" i="6"/>
  <c r="I15" i="6"/>
  <c r="I16" i="6"/>
  <c r="I17" i="6"/>
  <c r="I18" i="6"/>
  <c r="I19" i="6"/>
  <c r="I20" i="6"/>
  <c r="I21" i="6"/>
  <c r="I22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5" i="6"/>
  <c r="I46" i="6"/>
  <c r="I47" i="6"/>
  <c r="I48" i="6"/>
  <c r="I49" i="6"/>
  <c r="I50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7" i="6"/>
  <c r="I68" i="6"/>
  <c r="I69" i="6"/>
  <c r="I70" i="6"/>
  <c r="I71" i="6"/>
  <c r="I72" i="6"/>
  <c r="I73" i="6"/>
  <c r="I74" i="6"/>
  <c r="I75" i="6"/>
  <c r="I76" i="6"/>
  <c r="I77" i="6"/>
  <c r="I79" i="6"/>
  <c r="I80" i="6"/>
  <c r="I81" i="6"/>
  <c r="I82" i="6"/>
  <c r="I83" i="6"/>
  <c r="I84" i="6"/>
  <c r="I86" i="6"/>
  <c r="I87" i="6"/>
  <c r="I88" i="6"/>
  <c r="I89" i="6"/>
  <c r="I90" i="6"/>
  <c r="I91" i="6"/>
  <c r="I92" i="6"/>
  <c r="I94" i="6"/>
  <c r="I95" i="6"/>
  <c r="I96" i="6"/>
  <c r="I97" i="6"/>
  <c r="I98" i="6"/>
  <c r="I99" i="6"/>
  <c r="I100" i="6"/>
  <c r="I102" i="6"/>
  <c r="I103" i="6"/>
  <c r="I104" i="6"/>
  <c r="I105" i="6"/>
  <c r="I106" i="6"/>
  <c r="I107" i="6"/>
  <c r="I108" i="6"/>
  <c r="I109" i="6"/>
  <c r="I110" i="6"/>
  <c r="I111" i="6"/>
  <c r="I112" i="6"/>
  <c r="I114" i="6"/>
  <c r="I115" i="6"/>
  <c r="I116" i="6"/>
  <c r="I117" i="6"/>
  <c r="I118" i="6"/>
  <c r="I119" i="6"/>
  <c r="I120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H14" i="6"/>
  <c r="H15" i="6"/>
  <c r="H16" i="6"/>
  <c r="H17" i="6"/>
  <c r="H18" i="6"/>
  <c r="H19" i="6"/>
  <c r="H20" i="6"/>
  <c r="H21" i="6"/>
  <c r="H22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5" i="6"/>
  <c r="H46" i="6"/>
  <c r="H47" i="6"/>
  <c r="H48" i="6"/>
  <c r="H49" i="6"/>
  <c r="H50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7" i="6"/>
  <c r="H68" i="6"/>
  <c r="H69" i="6"/>
  <c r="H70" i="6"/>
  <c r="H71" i="6"/>
  <c r="H72" i="6"/>
  <c r="H73" i="6"/>
  <c r="H74" i="6"/>
  <c r="H75" i="6"/>
  <c r="H76" i="6"/>
  <c r="H77" i="6"/>
  <c r="H79" i="6"/>
  <c r="H80" i="6"/>
  <c r="H81" i="6"/>
  <c r="H82" i="6"/>
  <c r="H83" i="6"/>
  <c r="H84" i="6"/>
  <c r="H86" i="6"/>
  <c r="H87" i="6"/>
  <c r="H88" i="6"/>
  <c r="H89" i="6"/>
  <c r="H90" i="6"/>
  <c r="H91" i="6"/>
  <c r="H92" i="6"/>
  <c r="H94" i="6"/>
  <c r="H95" i="6"/>
  <c r="H96" i="6"/>
  <c r="H97" i="6"/>
  <c r="H98" i="6"/>
  <c r="H99" i="6"/>
  <c r="H100" i="6"/>
  <c r="H102" i="6"/>
  <c r="H103" i="6"/>
  <c r="H104" i="6"/>
  <c r="H105" i="6"/>
  <c r="H106" i="6"/>
  <c r="H107" i="6"/>
  <c r="H108" i="6"/>
  <c r="H109" i="6"/>
  <c r="H110" i="6"/>
  <c r="H111" i="6"/>
  <c r="H112" i="6"/>
  <c r="H114" i="6"/>
  <c r="H115" i="6"/>
  <c r="H116" i="6"/>
  <c r="H117" i="6"/>
  <c r="H118" i="6"/>
  <c r="H119" i="6"/>
  <c r="H120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1" i="6"/>
  <c r="H142" i="6"/>
  <c r="H143" i="6"/>
  <c r="H144" i="6"/>
  <c r="H145" i="6"/>
  <c r="H146" i="6"/>
  <c r="H147" i="6"/>
  <c r="H148" i="6"/>
  <c r="H149" i="6"/>
  <c r="H150" i="6"/>
  <c r="H152" i="6"/>
  <c r="F14" i="6"/>
  <c r="F15" i="6"/>
  <c r="F16" i="6"/>
  <c r="F17" i="6"/>
  <c r="F18" i="6"/>
  <c r="F19" i="6"/>
  <c r="F20" i="6"/>
  <c r="F21" i="6"/>
  <c r="F22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5" i="6"/>
  <c r="F46" i="6"/>
  <c r="F47" i="6"/>
  <c r="F48" i="6"/>
  <c r="F49" i="6"/>
  <c r="F50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7" i="6"/>
  <c r="F68" i="6"/>
  <c r="F69" i="6"/>
  <c r="F70" i="6"/>
  <c r="F71" i="6"/>
  <c r="F72" i="6"/>
  <c r="F73" i="6"/>
  <c r="F74" i="6"/>
  <c r="F75" i="6"/>
  <c r="F76" i="6"/>
  <c r="F77" i="6"/>
  <c r="F79" i="6"/>
  <c r="F80" i="6"/>
  <c r="F81" i="6"/>
  <c r="F82" i="6"/>
  <c r="F83" i="6"/>
  <c r="F84" i="6"/>
  <c r="F86" i="6"/>
  <c r="F87" i="6"/>
  <c r="F88" i="6"/>
  <c r="F89" i="6"/>
  <c r="F90" i="6"/>
  <c r="F91" i="6"/>
  <c r="F92" i="6"/>
  <c r="F94" i="6"/>
  <c r="F95" i="6"/>
  <c r="F96" i="6"/>
  <c r="F97" i="6"/>
  <c r="F98" i="6"/>
  <c r="F99" i="6"/>
  <c r="F100" i="6"/>
  <c r="F102" i="6"/>
  <c r="F103" i="6"/>
  <c r="F104" i="6"/>
  <c r="F105" i="6"/>
  <c r="F106" i="6"/>
  <c r="F107" i="6"/>
  <c r="F108" i="6"/>
  <c r="F109" i="6"/>
  <c r="F110" i="6"/>
  <c r="F111" i="6"/>
  <c r="F112" i="6"/>
  <c r="F114" i="6"/>
  <c r="F115" i="6"/>
  <c r="F116" i="6"/>
  <c r="F117" i="6"/>
  <c r="F118" i="6"/>
  <c r="F119" i="6"/>
  <c r="F120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E14" i="6"/>
  <c r="E15" i="6"/>
  <c r="E16" i="6"/>
  <c r="E17" i="6"/>
  <c r="E18" i="6"/>
  <c r="E19" i="6"/>
  <c r="E20" i="6"/>
  <c r="E21" i="6"/>
  <c r="E22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5" i="6"/>
  <c r="E46" i="6"/>
  <c r="E47" i="6"/>
  <c r="E48" i="6"/>
  <c r="E49" i="6"/>
  <c r="E50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7" i="6"/>
  <c r="E68" i="6"/>
  <c r="E69" i="6"/>
  <c r="E70" i="6"/>
  <c r="E71" i="6"/>
  <c r="E72" i="6"/>
  <c r="E73" i="6"/>
  <c r="E74" i="6"/>
  <c r="E75" i="6"/>
  <c r="E76" i="6"/>
  <c r="E77" i="6"/>
  <c r="E79" i="6"/>
  <c r="E80" i="6"/>
  <c r="E81" i="6"/>
  <c r="E82" i="6"/>
  <c r="E83" i="6"/>
  <c r="E84" i="6"/>
  <c r="E86" i="6"/>
  <c r="E87" i="6"/>
  <c r="E88" i="6"/>
  <c r="E89" i="6"/>
  <c r="E90" i="6"/>
  <c r="E91" i="6"/>
  <c r="E92" i="6"/>
  <c r="E94" i="6"/>
  <c r="E95" i="6"/>
  <c r="E96" i="6"/>
  <c r="E97" i="6"/>
  <c r="E98" i="6"/>
  <c r="E99" i="6"/>
  <c r="E100" i="6"/>
  <c r="E102" i="6"/>
  <c r="E103" i="6"/>
  <c r="E104" i="6"/>
  <c r="E105" i="6"/>
  <c r="E106" i="6"/>
  <c r="E107" i="6"/>
  <c r="E108" i="6"/>
  <c r="E109" i="6"/>
  <c r="E110" i="6"/>
  <c r="E111" i="6"/>
  <c r="E112" i="6"/>
  <c r="E114" i="6"/>
  <c r="E115" i="6"/>
  <c r="E116" i="6"/>
  <c r="E117" i="6"/>
  <c r="E118" i="6"/>
  <c r="E119" i="6"/>
  <c r="E120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D14" i="6"/>
  <c r="D15" i="6"/>
  <c r="D16" i="6"/>
  <c r="D17" i="6"/>
  <c r="D18" i="6"/>
  <c r="D19" i="6"/>
  <c r="D20" i="6"/>
  <c r="D21" i="6"/>
  <c r="D22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5" i="6"/>
  <c r="D46" i="6"/>
  <c r="D47" i="6"/>
  <c r="D48" i="6"/>
  <c r="D49" i="6"/>
  <c r="D50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7" i="6"/>
  <c r="D68" i="6"/>
  <c r="D69" i="6"/>
  <c r="D70" i="6"/>
  <c r="D71" i="6"/>
  <c r="D72" i="6"/>
  <c r="D73" i="6"/>
  <c r="D74" i="6"/>
  <c r="D75" i="6"/>
  <c r="D76" i="6"/>
  <c r="D77" i="6"/>
  <c r="D79" i="6"/>
  <c r="D80" i="6"/>
  <c r="D81" i="6"/>
  <c r="D82" i="6"/>
  <c r="D83" i="6"/>
  <c r="D84" i="6"/>
  <c r="D86" i="6"/>
  <c r="D87" i="6"/>
  <c r="D88" i="6"/>
  <c r="D89" i="6"/>
  <c r="D90" i="6"/>
  <c r="D91" i="6"/>
  <c r="D92" i="6"/>
  <c r="D94" i="6"/>
  <c r="D95" i="6"/>
  <c r="D96" i="6"/>
  <c r="D97" i="6"/>
  <c r="D98" i="6"/>
  <c r="D99" i="6"/>
  <c r="D100" i="6"/>
  <c r="D102" i="6"/>
  <c r="D103" i="6"/>
  <c r="D104" i="6"/>
  <c r="D105" i="6"/>
  <c r="D106" i="6"/>
  <c r="D107" i="6"/>
  <c r="D108" i="6"/>
  <c r="D109" i="6"/>
  <c r="D110" i="6"/>
  <c r="D111" i="6"/>
  <c r="D112" i="6"/>
  <c r="D114" i="6"/>
  <c r="D115" i="6"/>
  <c r="D116" i="6"/>
  <c r="D117" i="6"/>
  <c r="D118" i="6"/>
  <c r="D119" i="6"/>
  <c r="D120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C14" i="6"/>
  <c r="C15" i="6"/>
  <c r="C16" i="6"/>
  <c r="C17" i="6"/>
  <c r="C18" i="6"/>
  <c r="C19" i="6"/>
  <c r="C20" i="6"/>
  <c r="C21" i="6"/>
  <c r="C22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40" i="6"/>
  <c r="C41" i="6"/>
  <c r="C42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7" i="6"/>
  <c r="C68" i="6"/>
  <c r="C69" i="6"/>
  <c r="C70" i="6"/>
  <c r="C71" i="6"/>
  <c r="C72" i="6"/>
  <c r="C73" i="6"/>
  <c r="C74" i="6"/>
  <c r="C75" i="6"/>
  <c r="C76" i="6"/>
  <c r="C77" i="6"/>
  <c r="C79" i="6"/>
  <c r="C80" i="6"/>
  <c r="C81" i="6"/>
  <c r="C82" i="6"/>
  <c r="C83" i="6"/>
  <c r="C84" i="6"/>
  <c r="C86" i="6"/>
  <c r="C87" i="6"/>
  <c r="C88" i="6"/>
  <c r="C89" i="6"/>
  <c r="C90" i="6"/>
  <c r="C91" i="6"/>
  <c r="C92" i="6"/>
  <c r="C94" i="6"/>
  <c r="C95" i="6"/>
  <c r="C96" i="6"/>
  <c r="C97" i="6"/>
  <c r="C98" i="6"/>
  <c r="C99" i="6"/>
  <c r="C100" i="6"/>
  <c r="C102" i="6"/>
  <c r="C103" i="6"/>
  <c r="C104" i="6"/>
  <c r="C105" i="6"/>
  <c r="C106" i="6"/>
  <c r="C107" i="6"/>
  <c r="C108" i="6"/>
  <c r="C109" i="6"/>
  <c r="C110" i="6"/>
  <c r="C111" i="6"/>
  <c r="C112" i="6"/>
  <c r="C114" i="6"/>
  <c r="C115" i="6"/>
  <c r="C116" i="6"/>
  <c r="C117" i="6"/>
  <c r="C118" i="6"/>
  <c r="C119" i="6"/>
  <c r="C120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K173" i="6"/>
  <c r="J158" i="6"/>
  <c r="S61" i="1"/>
  <c r="S73" i="1"/>
  <c r="S80" i="1"/>
  <c r="S88" i="1"/>
  <c r="S96" i="1"/>
  <c r="S108" i="1"/>
  <c r="S116" i="1"/>
  <c r="S117" i="1"/>
  <c r="S135" i="1"/>
  <c r="P53" i="1"/>
  <c r="P54" i="1"/>
  <c r="P55" i="1"/>
  <c r="P56" i="1"/>
  <c r="P57" i="1"/>
  <c r="P58" i="1"/>
  <c r="P59" i="1"/>
  <c r="H54" i="1"/>
  <c r="L54" i="1" s="1"/>
  <c r="C63" i="3" s="1"/>
  <c r="H55" i="1"/>
  <c r="L55" i="1" s="1"/>
  <c r="C64" i="3" s="1"/>
  <c r="H56" i="1"/>
  <c r="L56" i="1" s="1"/>
  <c r="H57" i="1"/>
  <c r="L57" i="1" s="1"/>
  <c r="H58" i="1"/>
  <c r="L58" i="1" s="1"/>
  <c r="C67" i="3" s="1"/>
  <c r="H59" i="1"/>
  <c r="L59" i="1" s="1"/>
  <c r="C68" i="3" s="1"/>
  <c r="P15" i="1"/>
  <c r="J13" i="6"/>
  <c r="I13" i="6"/>
  <c r="H13" i="6"/>
  <c r="F13" i="6"/>
  <c r="D13" i="6"/>
  <c r="E13" i="6"/>
  <c r="H15" i="1"/>
  <c r="L15" i="1" s="1"/>
  <c r="C66" i="3" l="1"/>
  <c r="G139" i="6"/>
  <c r="C65" i="3"/>
  <c r="G90" i="6"/>
  <c r="K90" i="6" s="1"/>
  <c r="G108" i="6"/>
  <c r="K108" i="6" s="1"/>
  <c r="G144" i="6"/>
  <c r="K144" i="6" s="1"/>
  <c r="G127" i="6"/>
  <c r="K127" i="6" s="1"/>
  <c r="G72" i="6"/>
  <c r="K72" i="6" s="1"/>
  <c r="G55" i="6"/>
  <c r="G36" i="6"/>
  <c r="K36" i="6" s="1"/>
  <c r="G18" i="6"/>
  <c r="C24" i="3"/>
  <c r="G148" i="6"/>
  <c r="G131" i="6"/>
  <c r="K131" i="6" s="1"/>
  <c r="G112" i="6"/>
  <c r="K112" i="6" s="1"/>
  <c r="G95" i="6"/>
  <c r="K95" i="6" s="1"/>
  <c r="G76" i="6"/>
  <c r="K76" i="6" s="1"/>
  <c r="G59" i="6"/>
  <c r="K59" i="6" s="1"/>
  <c r="G40" i="6"/>
  <c r="K40" i="6" s="1"/>
  <c r="S55" i="1"/>
  <c r="T55" i="1" s="1" a="1"/>
  <c r="T55" i="1" s="1"/>
  <c r="D64" i="3" s="1" a="1"/>
  <c r="D64" i="3" s="1"/>
  <c r="E62" i="4"/>
  <c r="G149" i="6"/>
  <c r="K149" i="6" s="1"/>
  <c r="G123" i="6"/>
  <c r="K123" i="6" s="1"/>
  <c r="G104" i="6"/>
  <c r="K104" i="6" s="1"/>
  <c r="G86" i="6"/>
  <c r="K86" i="6" s="1"/>
  <c r="G68" i="6"/>
  <c r="K68" i="6" s="1"/>
  <c r="E44" i="4"/>
  <c r="G22" i="6"/>
  <c r="K22" i="6" s="1"/>
  <c r="E11" i="4"/>
  <c r="G132" i="6"/>
  <c r="K132" i="6" s="1"/>
  <c r="G114" i="6"/>
  <c r="K114" i="6" s="1"/>
  <c r="E111" i="4"/>
  <c r="E17" i="4"/>
  <c r="E126" i="4"/>
  <c r="E107" i="4"/>
  <c r="E90" i="4"/>
  <c r="E71" i="4"/>
  <c r="E54" i="4"/>
  <c r="E35" i="4"/>
  <c r="G141" i="6"/>
  <c r="K141" i="6" s="1"/>
  <c r="G69" i="6"/>
  <c r="K69" i="6" s="1"/>
  <c r="E10" i="4"/>
  <c r="E136" i="4"/>
  <c r="E119" i="4"/>
  <c r="E130" i="4"/>
  <c r="E112" i="4"/>
  <c r="E94" i="4"/>
  <c r="E76" i="4"/>
  <c r="E58" i="4"/>
  <c r="E41" i="4"/>
  <c r="G96" i="6"/>
  <c r="K96" i="6" s="1"/>
  <c r="G77" i="6"/>
  <c r="K77" i="6" s="1"/>
  <c r="G60" i="6"/>
  <c r="K60" i="6" s="1"/>
  <c r="G41" i="6"/>
  <c r="K41" i="6" s="1"/>
  <c r="G25" i="6"/>
  <c r="K25" i="6" s="1"/>
  <c r="E137" i="4"/>
  <c r="E120" i="4"/>
  <c r="E101" i="4"/>
  <c r="E83" i="4"/>
  <c r="E65" i="4"/>
  <c r="E48" i="4"/>
  <c r="E23" i="4"/>
  <c r="E29" i="4"/>
  <c r="E134" i="4"/>
  <c r="E118" i="4"/>
  <c r="E99" i="4"/>
  <c r="E81" i="4"/>
  <c r="G136" i="6"/>
  <c r="K136" i="6" s="1"/>
  <c r="G118" i="6"/>
  <c r="K118" i="6" s="1"/>
  <c r="G100" i="6"/>
  <c r="K100" i="6" s="1"/>
  <c r="G82" i="6"/>
  <c r="K82" i="6" s="1"/>
  <c r="G64" i="6"/>
  <c r="K64" i="6" s="1"/>
  <c r="G47" i="6"/>
  <c r="K47" i="6" s="1"/>
  <c r="G29" i="6"/>
  <c r="K29" i="6" s="1"/>
  <c r="G116" i="6"/>
  <c r="K116" i="6" s="1"/>
  <c r="G80" i="6"/>
  <c r="K80" i="6" s="1"/>
  <c r="G45" i="6"/>
  <c r="K45" i="6" s="1"/>
  <c r="E16" i="4"/>
  <c r="E147" i="4"/>
  <c r="E15" i="4"/>
  <c r="K139" i="6"/>
  <c r="E124" i="4"/>
  <c r="E105" i="4"/>
  <c r="E87" i="4"/>
  <c r="E69" i="4"/>
  <c r="E52" i="4"/>
  <c r="E33" i="4"/>
  <c r="E67" i="4"/>
  <c r="E142" i="4"/>
  <c r="E141" i="4"/>
  <c r="E63" i="4"/>
  <c r="E45" i="4"/>
  <c r="E27" i="4"/>
  <c r="E13" i="4"/>
  <c r="G151" i="6"/>
  <c r="K151" i="6" s="1"/>
  <c r="E115" i="4"/>
  <c r="E93" i="4"/>
  <c r="G147" i="6"/>
  <c r="K147" i="6" s="1"/>
  <c r="G130" i="6"/>
  <c r="K130" i="6" s="1"/>
  <c r="G111" i="6"/>
  <c r="K111" i="6" s="1"/>
  <c r="G94" i="6"/>
  <c r="K94" i="6" s="1"/>
  <c r="G75" i="6"/>
  <c r="K75" i="6" s="1"/>
  <c r="G58" i="6"/>
  <c r="K58" i="6" s="1"/>
  <c r="G39" i="6"/>
  <c r="K39" i="6" s="1"/>
  <c r="E133" i="4"/>
  <c r="E98" i="4"/>
  <c r="E79" i="4"/>
  <c r="E132" i="4"/>
  <c r="E114" i="4"/>
  <c r="E97" i="4"/>
  <c r="E78" i="4"/>
  <c r="E60" i="4"/>
  <c r="E43" i="4"/>
  <c r="E25" i="4"/>
  <c r="G124" i="6"/>
  <c r="K124" i="6" s="1"/>
  <c r="G105" i="6"/>
  <c r="K105" i="6" s="1"/>
  <c r="G87" i="6"/>
  <c r="K87" i="6" s="1"/>
  <c r="G52" i="6"/>
  <c r="K52" i="6" s="1"/>
  <c r="G33" i="6"/>
  <c r="K33" i="6" s="1"/>
  <c r="G15" i="6"/>
  <c r="K15" i="6" s="1"/>
  <c r="G50" i="6"/>
  <c r="K50" i="6" s="1"/>
  <c r="G32" i="6"/>
  <c r="K32" i="6" s="1"/>
  <c r="G14" i="6"/>
  <c r="K14" i="6" s="1"/>
  <c r="G145" i="6"/>
  <c r="K145" i="6" s="1"/>
  <c r="G128" i="6"/>
  <c r="K128" i="6" s="1"/>
  <c r="G109" i="6"/>
  <c r="K109" i="6" s="1"/>
  <c r="G91" i="6"/>
  <c r="K91" i="6" s="1"/>
  <c r="G73" i="6"/>
  <c r="K73" i="6" s="1"/>
  <c r="G56" i="6"/>
  <c r="K56" i="6" s="1"/>
  <c r="G37" i="6"/>
  <c r="K37" i="6" s="1"/>
  <c r="G19" i="6"/>
  <c r="K19" i="6" s="1"/>
  <c r="G138" i="6"/>
  <c r="K138" i="6" s="1"/>
  <c r="G120" i="6"/>
  <c r="K120" i="6" s="1"/>
  <c r="G103" i="6"/>
  <c r="K103" i="6" s="1"/>
  <c r="G84" i="6"/>
  <c r="K84" i="6" s="1"/>
  <c r="G67" i="6"/>
  <c r="K67" i="6" s="1"/>
  <c r="G49" i="6"/>
  <c r="K49" i="6" s="1"/>
  <c r="G31" i="6"/>
  <c r="K31" i="6" s="1"/>
  <c r="E129" i="4"/>
  <c r="G137" i="6"/>
  <c r="K137" i="6" s="1"/>
  <c r="G119" i="6"/>
  <c r="K119" i="6" s="1"/>
  <c r="G102" i="6"/>
  <c r="K102" i="6" s="1"/>
  <c r="G83" i="6"/>
  <c r="K83" i="6" s="1"/>
  <c r="G65" i="6"/>
  <c r="K65" i="6" s="1"/>
  <c r="G48" i="6"/>
  <c r="K48" i="6" s="1"/>
  <c r="G30" i="6"/>
  <c r="K30" i="6" s="1"/>
  <c r="E127" i="4"/>
  <c r="E109" i="4"/>
  <c r="E91" i="4"/>
  <c r="E72" i="4"/>
  <c r="G134" i="6"/>
  <c r="K134" i="6" s="1"/>
  <c r="G98" i="6"/>
  <c r="K98" i="6" s="1"/>
  <c r="G62" i="6"/>
  <c r="K62" i="6" s="1"/>
  <c r="G27" i="6"/>
  <c r="K27" i="6" s="1"/>
  <c r="E146" i="4"/>
  <c r="E138" i="4"/>
  <c r="E121" i="4"/>
  <c r="E102" i="4"/>
  <c r="E84" i="4"/>
  <c r="E66" i="4"/>
  <c r="E49" i="4"/>
  <c r="E144" i="4"/>
  <c r="E9" i="4"/>
  <c r="E122" i="4"/>
  <c r="E103" i="4"/>
  <c r="E85" i="4"/>
  <c r="E50" i="4"/>
  <c r="E143" i="4"/>
  <c r="G152" i="6"/>
  <c r="K152" i="6" s="1"/>
  <c r="G135" i="6"/>
  <c r="K135" i="6" s="1"/>
  <c r="G117" i="6"/>
  <c r="K117" i="6" s="1"/>
  <c r="G99" i="6"/>
  <c r="K99" i="6" s="1"/>
  <c r="G81" i="6"/>
  <c r="K81" i="6" s="1"/>
  <c r="G63" i="6"/>
  <c r="K63" i="6" s="1"/>
  <c r="G46" i="6"/>
  <c r="K46" i="6" s="1"/>
  <c r="G28" i="6"/>
  <c r="K28" i="6" s="1"/>
  <c r="E123" i="4"/>
  <c r="E104" i="4"/>
  <c r="E86" i="4"/>
  <c r="E68" i="4"/>
  <c r="E51" i="4"/>
  <c r="E32" i="4"/>
  <c r="E31" i="4"/>
  <c r="G150" i="6"/>
  <c r="K150" i="6" s="1"/>
  <c r="G133" i="6"/>
  <c r="K133" i="6" s="1"/>
  <c r="G115" i="6"/>
  <c r="K115" i="6" s="1"/>
  <c r="G97" i="6"/>
  <c r="K97" i="6" s="1"/>
  <c r="G79" i="6"/>
  <c r="K79" i="6" s="1"/>
  <c r="G61" i="6"/>
  <c r="K61" i="6" s="1"/>
  <c r="G42" i="6"/>
  <c r="K42" i="6" s="1"/>
  <c r="G26" i="6"/>
  <c r="K26" i="6" s="1"/>
  <c r="E30" i="4"/>
  <c r="E100" i="4"/>
  <c r="E82" i="4"/>
  <c r="E64" i="4"/>
  <c r="E47" i="4"/>
  <c r="E28" i="4"/>
  <c r="E140" i="4"/>
  <c r="G21" i="6"/>
  <c r="K21" i="6" s="1"/>
  <c r="E139" i="4"/>
  <c r="G146" i="6"/>
  <c r="K146" i="6" s="1"/>
  <c r="G129" i="6"/>
  <c r="K129" i="6" s="1"/>
  <c r="G110" i="6"/>
  <c r="K110" i="6" s="1"/>
  <c r="G92" i="6"/>
  <c r="K92" i="6" s="1"/>
  <c r="G74" i="6"/>
  <c r="K74" i="6" s="1"/>
  <c r="G57" i="6"/>
  <c r="K57" i="6" s="1"/>
  <c r="G38" i="6"/>
  <c r="K38" i="6" s="1"/>
  <c r="G20" i="6"/>
  <c r="K20" i="6" s="1"/>
  <c r="E26" i="4"/>
  <c r="E75" i="4"/>
  <c r="E57" i="4"/>
  <c r="E40" i="4"/>
  <c r="E22" i="4"/>
  <c r="E131" i="4"/>
  <c r="E113" i="4"/>
  <c r="E95" i="4"/>
  <c r="E77" i="4"/>
  <c r="E59" i="4"/>
  <c r="E42" i="4"/>
  <c r="E24" i="4"/>
  <c r="E145" i="4"/>
  <c r="E128" i="4"/>
  <c r="E110" i="4"/>
  <c r="E92" i="4"/>
  <c r="E74" i="4"/>
  <c r="E56" i="4"/>
  <c r="E37" i="4"/>
  <c r="E21" i="4"/>
  <c r="G143" i="6"/>
  <c r="K143" i="6" s="1"/>
  <c r="G126" i="6"/>
  <c r="K126" i="6" s="1"/>
  <c r="G107" i="6"/>
  <c r="K107" i="6" s="1"/>
  <c r="G89" i="6"/>
  <c r="K89" i="6" s="1"/>
  <c r="G71" i="6"/>
  <c r="K71" i="6" s="1"/>
  <c r="G54" i="6"/>
  <c r="K54" i="6" s="1"/>
  <c r="G35" i="6"/>
  <c r="K35" i="6" s="1"/>
  <c r="G17" i="6"/>
  <c r="K17" i="6" s="1"/>
  <c r="K148" i="6"/>
  <c r="G142" i="6"/>
  <c r="K142" i="6" s="1"/>
  <c r="G125" i="6"/>
  <c r="K125" i="6" s="1"/>
  <c r="G106" i="6"/>
  <c r="K106" i="6" s="1"/>
  <c r="G88" i="6"/>
  <c r="K88" i="6" s="1"/>
  <c r="G70" i="6"/>
  <c r="K70" i="6" s="1"/>
  <c r="G53" i="6"/>
  <c r="K53" i="6" s="1"/>
  <c r="G34" i="6"/>
  <c r="K34" i="6" s="1"/>
  <c r="G16" i="6"/>
  <c r="K16" i="6" s="1"/>
  <c r="E14" i="4"/>
  <c r="E55" i="4"/>
  <c r="E36" i="4"/>
  <c r="E20" i="4"/>
  <c r="E12" i="4"/>
  <c r="K18" i="6"/>
  <c r="S15" i="1"/>
  <c r="T15" i="1" s="1" a="1"/>
  <c r="T15" i="1" s="1"/>
  <c r="D24" i="3" s="1" a="1"/>
  <c r="D24" i="3" s="1"/>
  <c r="S56" i="1"/>
  <c r="T56" i="1" s="1" a="1"/>
  <c r="T56" i="1" s="1"/>
  <c r="D65" i="3" s="1" a="1"/>
  <c r="D65" i="3" s="1"/>
  <c r="S59" i="1"/>
  <c r="T59" i="1" s="1" a="1"/>
  <c r="T59" i="1" s="1"/>
  <c r="D68" i="3" s="1" a="1"/>
  <c r="D68" i="3" s="1"/>
  <c r="S58" i="1"/>
  <c r="T58" i="1" s="1" a="1"/>
  <c r="T58" i="1" s="1"/>
  <c r="D67" i="3" s="1" a="1"/>
  <c r="D67" i="3" s="1"/>
  <c r="S57" i="1"/>
  <c r="T57" i="1" s="1" a="1"/>
  <c r="T57" i="1" s="1"/>
  <c r="D66" i="3" s="1" a="1"/>
  <c r="D66" i="3" s="1"/>
  <c r="S54" i="1"/>
  <c r="T54" i="1" s="1" a="1"/>
  <c r="T54" i="1" s="1"/>
  <c r="D63" i="3" s="1" a="1"/>
  <c r="D63" i="3" s="1"/>
  <c r="K55" i="6"/>
  <c r="D6" i="6"/>
  <c r="D5" i="6"/>
  <c r="D7" i="6" l="1"/>
  <c r="D3" i="6"/>
  <c r="D4" i="6"/>
  <c r="D2" i="6"/>
  <c r="J8" i="6" l="1"/>
  <c r="J7" i="6"/>
  <c r="J161" i="6"/>
  <c r="G13" i="6"/>
  <c r="C8" i="3"/>
  <c r="P136" i="1"/>
  <c r="G8" i="4"/>
  <c r="N148" i="1"/>
  <c r="O148" i="1"/>
  <c r="H102" i="1"/>
  <c r="L102" i="1" s="1"/>
  <c r="C111" i="3" s="1"/>
  <c r="P102" i="1"/>
  <c r="P133" i="1"/>
  <c r="H133" i="1"/>
  <c r="L133" i="1" s="1"/>
  <c r="C142" i="3" s="1"/>
  <c r="P142" i="1"/>
  <c r="P143" i="1"/>
  <c r="P144" i="1"/>
  <c r="H142" i="1"/>
  <c r="L142" i="1" s="1"/>
  <c r="H143" i="1"/>
  <c r="L143" i="1" s="1"/>
  <c r="D8" i="4"/>
  <c r="D148" i="4" s="1"/>
  <c r="C8" i="4"/>
  <c r="C148" i="4" s="1"/>
  <c r="F8" i="4"/>
  <c r="C2" i="4"/>
  <c r="C3" i="4"/>
  <c r="C4" i="4"/>
  <c r="C1" i="4"/>
  <c r="C10" i="3"/>
  <c r="C11" i="3"/>
  <c r="C12" i="3"/>
  <c r="C9" i="3"/>
  <c r="C4" i="3"/>
  <c r="C5" i="3"/>
  <c r="C6" i="3"/>
  <c r="C7" i="3"/>
  <c r="C3" i="3"/>
  <c r="S18" i="1"/>
  <c r="S19" i="1"/>
  <c r="C152" i="3" l="1"/>
  <c r="C151" i="3"/>
  <c r="K13" i="6"/>
  <c r="K153" i="6" s="1"/>
  <c r="G153" i="6"/>
  <c r="S133" i="1"/>
  <c r="T133" i="1" s="1" a="1"/>
  <c r="T133" i="1" s="1"/>
  <c r="D142" i="3" s="1" a="1"/>
  <c r="D142" i="3" s="1"/>
  <c r="S143" i="1"/>
  <c r="T143" i="1" s="1" a="1"/>
  <c r="T143" i="1" s="1"/>
  <c r="S142" i="1"/>
  <c r="T142" i="1" s="1" a="1"/>
  <c r="T142" i="1" s="1"/>
  <c r="S102" i="1"/>
  <c r="T102" i="1" s="1" a="1"/>
  <c r="T102" i="1" s="1"/>
  <c r="D111" i="3" s="1" a="1"/>
  <c r="D111" i="3" s="1"/>
  <c r="P8" i="1"/>
  <c r="P9" i="1"/>
  <c r="P10" i="1"/>
  <c r="P11" i="1"/>
  <c r="P12" i="1"/>
  <c r="C21" i="3" s="1"/>
  <c r="P13" i="1"/>
  <c r="P14" i="1"/>
  <c r="P16" i="1"/>
  <c r="P17" i="1"/>
  <c r="H8" i="1"/>
  <c r="H9" i="1"/>
  <c r="L9" i="1" s="1"/>
  <c r="H10" i="1"/>
  <c r="L10" i="1" s="1"/>
  <c r="H11" i="1"/>
  <c r="L11" i="1" s="1"/>
  <c r="C20" i="3" s="1"/>
  <c r="H12" i="1"/>
  <c r="L12" i="1" s="1"/>
  <c r="H13" i="1"/>
  <c r="L13" i="1" s="1"/>
  <c r="C22" i="3" s="1"/>
  <c r="H14" i="1"/>
  <c r="L14" i="1" s="1"/>
  <c r="C23" i="3" s="1"/>
  <c r="H16" i="1"/>
  <c r="L16" i="1" s="1"/>
  <c r="C25" i="3" s="1"/>
  <c r="H17" i="1"/>
  <c r="L17" i="1" s="1"/>
  <c r="C26" i="3" s="1"/>
  <c r="P129" i="1"/>
  <c r="P130" i="1"/>
  <c r="P131" i="1"/>
  <c r="P132" i="1"/>
  <c r="P134" i="1"/>
  <c r="P125" i="1"/>
  <c r="P126" i="1"/>
  <c r="P127" i="1"/>
  <c r="P128" i="1"/>
  <c r="P124" i="1"/>
  <c r="P120" i="1"/>
  <c r="P121" i="1"/>
  <c r="P122" i="1"/>
  <c r="P123" i="1"/>
  <c r="H125" i="1"/>
  <c r="L125" i="1" s="1"/>
  <c r="C134" i="3" s="1"/>
  <c r="H126" i="1"/>
  <c r="L126" i="1" s="1"/>
  <c r="C135" i="3" s="1"/>
  <c r="H127" i="1"/>
  <c r="L127" i="1" s="1"/>
  <c r="C136" i="3" s="1"/>
  <c r="H128" i="1"/>
  <c r="L128" i="1" s="1"/>
  <c r="H124" i="1"/>
  <c r="L124" i="1" s="1"/>
  <c r="H120" i="1"/>
  <c r="L120" i="1" s="1"/>
  <c r="H121" i="1"/>
  <c r="L121" i="1" s="1"/>
  <c r="C130" i="3" s="1"/>
  <c r="H122" i="1"/>
  <c r="L122" i="1" s="1"/>
  <c r="C131" i="3" s="1"/>
  <c r="H129" i="1"/>
  <c r="L129" i="1" s="1"/>
  <c r="H130" i="1"/>
  <c r="L130" i="1" s="1"/>
  <c r="C139" i="3" s="1"/>
  <c r="H131" i="1"/>
  <c r="L131" i="1" s="1"/>
  <c r="H132" i="1"/>
  <c r="L132" i="1" s="1"/>
  <c r="C141" i="3" s="1"/>
  <c r="H134" i="1"/>
  <c r="L134" i="1" s="1"/>
  <c r="C143" i="3" s="1"/>
  <c r="H60" i="1"/>
  <c r="L60" i="1" s="1"/>
  <c r="P63" i="1"/>
  <c r="P64" i="1"/>
  <c r="P65" i="1"/>
  <c r="P66" i="1"/>
  <c r="P67" i="1"/>
  <c r="P68" i="1"/>
  <c r="P69" i="1"/>
  <c r="P70" i="1"/>
  <c r="P71" i="1"/>
  <c r="P72" i="1"/>
  <c r="H63" i="1"/>
  <c r="L63" i="1" s="1"/>
  <c r="C72" i="3" s="1"/>
  <c r="H64" i="1"/>
  <c r="L64" i="1" s="1"/>
  <c r="C73" i="3" s="1"/>
  <c r="H65" i="1"/>
  <c r="L65" i="1" s="1"/>
  <c r="C74" i="3" s="1"/>
  <c r="H66" i="1"/>
  <c r="L66" i="1" s="1"/>
  <c r="C75" i="3" s="1"/>
  <c r="H67" i="1"/>
  <c r="L67" i="1" s="1"/>
  <c r="H68" i="1"/>
  <c r="L68" i="1" s="1"/>
  <c r="H69" i="1"/>
  <c r="L69" i="1" s="1"/>
  <c r="H70" i="1"/>
  <c r="L70" i="1" s="1"/>
  <c r="H71" i="1"/>
  <c r="L71" i="1" s="1"/>
  <c r="C80" i="3" s="1"/>
  <c r="P106" i="1"/>
  <c r="P107" i="1"/>
  <c r="P109" i="1"/>
  <c r="P110" i="1"/>
  <c r="P111" i="1"/>
  <c r="P112" i="1"/>
  <c r="P113" i="1"/>
  <c r="P114" i="1"/>
  <c r="P115" i="1"/>
  <c r="H106" i="1"/>
  <c r="L106" i="1" s="1"/>
  <c r="C115" i="3" s="1"/>
  <c r="H107" i="1"/>
  <c r="L107" i="1" s="1"/>
  <c r="H109" i="1"/>
  <c r="L109" i="1" s="1"/>
  <c r="C118" i="3" s="1"/>
  <c r="H110" i="1"/>
  <c r="L110" i="1" s="1"/>
  <c r="H111" i="1"/>
  <c r="L111" i="1" s="1"/>
  <c r="C120" i="3" s="1"/>
  <c r="H112" i="1"/>
  <c r="L112" i="1" s="1"/>
  <c r="C121" i="3" s="1"/>
  <c r="H113" i="1"/>
  <c r="L113" i="1" s="1"/>
  <c r="C122" i="3" s="1"/>
  <c r="H114" i="1"/>
  <c r="L114" i="1" s="1"/>
  <c r="C123" i="3" s="1"/>
  <c r="H115" i="1"/>
  <c r="L115" i="1" s="1"/>
  <c r="C124" i="3" s="1"/>
  <c r="C18" i="3" l="1"/>
  <c r="D151" i="3" a="1"/>
  <c r="D151" i="3" s="1"/>
  <c r="B142" i="1"/>
  <c r="D152" i="3" a="1"/>
  <c r="D152" i="3" s="1"/>
  <c r="B143" i="1"/>
  <c r="C116" i="3"/>
  <c r="C137" i="3"/>
  <c r="C133" i="3"/>
  <c r="C19" i="3"/>
  <c r="S67" i="1"/>
  <c r="T67" i="1" s="1" a="1"/>
  <c r="T67" i="1" s="1"/>
  <c r="D76" i="3" s="1" a="1"/>
  <c r="D76" i="3" s="1"/>
  <c r="C76" i="3"/>
  <c r="C140" i="3"/>
  <c r="C138" i="3"/>
  <c r="S70" i="1"/>
  <c r="C79" i="3"/>
  <c r="S69" i="1"/>
  <c r="C78" i="3"/>
  <c r="C119" i="3"/>
  <c r="S68" i="1"/>
  <c r="T68" i="1" s="1" a="1"/>
  <c r="T68" i="1" s="1"/>
  <c r="D77" i="3" s="1" a="1"/>
  <c r="D77" i="3" s="1"/>
  <c r="C77" i="3"/>
  <c r="C129" i="3"/>
  <c r="S66" i="1"/>
  <c r="S65" i="1"/>
  <c r="S64" i="1"/>
  <c r="S114" i="1"/>
  <c r="T114" i="1" s="1" a="1"/>
  <c r="T114" i="1" s="1"/>
  <c r="D123" i="3" s="1" a="1"/>
  <c r="D123" i="3" s="1"/>
  <c r="S112" i="1"/>
  <c r="T112" i="1" s="1" a="1"/>
  <c r="T112" i="1" s="1"/>
  <c r="D121" i="3" s="1" a="1"/>
  <c r="D121" i="3" s="1"/>
  <c r="S109" i="1"/>
  <c r="T109" i="1" s="1" a="1"/>
  <c r="T109" i="1" s="1"/>
  <c r="D118" i="3" s="1" a="1"/>
  <c r="D118" i="3" s="1"/>
  <c r="S63" i="1"/>
  <c r="T63" i="1" s="1" a="1"/>
  <c r="T63" i="1" s="1"/>
  <c r="D72" i="3" s="1" a="1"/>
  <c r="D72" i="3" s="1"/>
  <c r="S111" i="1"/>
  <c r="T111" i="1" s="1" a="1"/>
  <c r="T111" i="1" s="1"/>
  <c r="D120" i="3" s="1" a="1"/>
  <c r="D120" i="3" s="1"/>
  <c r="S115" i="1"/>
  <c r="T115" i="1" s="1" a="1"/>
  <c r="T115" i="1" s="1"/>
  <c r="D124" i="3" s="1" a="1"/>
  <c r="D124" i="3" s="1"/>
  <c r="S113" i="1"/>
  <c r="T113" i="1" s="1" a="1"/>
  <c r="T113" i="1" s="1"/>
  <c r="D122" i="3" s="1" a="1"/>
  <c r="D122" i="3" s="1"/>
  <c r="S110" i="1"/>
  <c r="T110" i="1" s="1" a="1"/>
  <c r="T110" i="1" s="1"/>
  <c r="D119" i="3" s="1" a="1"/>
  <c r="D119" i="3" s="1"/>
  <c r="S71" i="1"/>
  <c r="T71" i="1" s="1" a="1"/>
  <c r="T71" i="1" s="1"/>
  <c r="D80" i="3" s="1" a="1"/>
  <c r="D80" i="3" s="1"/>
  <c r="S134" i="1"/>
  <c r="S132" i="1"/>
  <c r="T132" i="1" s="1" a="1"/>
  <c r="T132" i="1" s="1"/>
  <c r="D141" i="3" s="1" a="1"/>
  <c r="D141" i="3" s="1"/>
  <c r="S131" i="1"/>
  <c r="T131" i="1" s="1" a="1"/>
  <c r="T131" i="1" s="1"/>
  <c r="D140" i="3" s="1" a="1"/>
  <c r="D140" i="3" s="1"/>
  <c r="S130" i="1"/>
  <c r="T130" i="1" s="1" a="1"/>
  <c r="T130" i="1" s="1"/>
  <c r="D139" i="3" s="1" a="1"/>
  <c r="D139" i="3" s="1"/>
  <c r="S129" i="1"/>
  <c r="T129" i="1" s="1" a="1"/>
  <c r="T129" i="1" s="1"/>
  <c r="D138" i="3" s="1" a="1"/>
  <c r="D138" i="3" s="1"/>
  <c r="S128" i="1"/>
  <c r="T128" i="1" s="1" a="1"/>
  <c r="T128" i="1" s="1"/>
  <c r="D137" i="3" s="1" a="1"/>
  <c r="D137" i="3" s="1"/>
  <c r="S127" i="1"/>
  <c r="T127" i="1" s="1" a="1"/>
  <c r="T127" i="1" s="1"/>
  <c r="D136" i="3" s="1" a="1"/>
  <c r="D136" i="3" s="1"/>
  <c r="S126" i="1"/>
  <c r="S125" i="1"/>
  <c r="T125" i="1" s="1" a="1"/>
  <c r="T125" i="1" s="1"/>
  <c r="D134" i="3" s="1" a="1"/>
  <c r="D134" i="3" s="1"/>
  <c r="S124" i="1"/>
  <c r="T124" i="1" s="1" a="1"/>
  <c r="T124" i="1" s="1"/>
  <c r="D133" i="3" s="1" a="1"/>
  <c r="D133" i="3" s="1"/>
  <c r="S122" i="1"/>
  <c r="T122" i="1" s="1" a="1"/>
  <c r="T122" i="1" s="1"/>
  <c r="D131" i="3" s="1" a="1"/>
  <c r="D131" i="3" s="1"/>
  <c r="S121" i="1"/>
  <c r="T121" i="1" s="1" a="1"/>
  <c r="T121" i="1" s="1"/>
  <c r="D130" i="3" s="1" a="1"/>
  <c r="D130" i="3" s="1"/>
  <c r="S120" i="1"/>
  <c r="T120" i="1" s="1" a="1"/>
  <c r="T120" i="1" s="1"/>
  <c r="D129" i="3" s="1" a="1"/>
  <c r="D129" i="3" s="1"/>
  <c r="S107" i="1"/>
  <c r="T107" i="1" s="1" a="1"/>
  <c r="T107" i="1" s="1"/>
  <c r="D116" i="3" s="1" a="1"/>
  <c r="D116" i="3" s="1"/>
  <c r="S106" i="1"/>
  <c r="T106" i="1" s="1" a="1"/>
  <c r="T106" i="1" s="1"/>
  <c r="D115" i="3" s="1" a="1"/>
  <c r="D115" i="3" s="1"/>
  <c r="S17" i="1"/>
  <c r="S14" i="1"/>
  <c r="S16" i="1"/>
  <c r="L8" i="1"/>
  <c r="T70" i="1" a="1"/>
  <c r="T70" i="1" s="1"/>
  <c r="D79" i="3" s="1" a="1"/>
  <c r="D79" i="3" s="1"/>
  <c r="T69" i="1" a="1"/>
  <c r="T69" i="1" s="1"/>
  <c r="D78" i="3" s="1" a="1"/>
  <c r="D78" i="3" s="1"/>
  <c r="T134" i="1" a="1"/>
  <c r="T134" i="1" s="1"/>
  <c r="D143" i="3" s="1" a="1"/>
  <c r="D143" i="3" s="1"/>
  <c r="T64" i="1" a="1"/>
  <c r="T64" i="1" s="1"/>
  <c r="D73" i="3" s="1" a="1"/>
  <c r="D73" i="3" s="1"/>
  <c r="T66" i="1" a="1"/>
  <c r="T66" i="1" s="1"/>
  <c r="D75" i="3" s="1" a="1"/>
  <c r="D75" i="3" s="1"/>
  <c r="T65" i="1" a="1"/>
  <c r="T65" i="1" s="1"/>
  <c r="D74" i="3" s="1" a="1"/>
  <c r="D74" i="3" s="1"/>
  <c r="S13" i="1"/>
  <c r="S12" i="1"/>
  <c r="S11" i="1"/>
  <c r="S10" i="1"/>
  <c r="S9" i="1"/>
  <c r="T9" i="1" s="1" a="1"/>
  <c r="T9" i="1" s="1"/>
  <c r="P74" i="1"/>
  <c r="P75" i="1"/>
  <c r="P76" i="1"/>
  <c r="P77" i="1"/>
  <c r="P78" i="1"/>
  <c r="P79" i="1"/>
  <c r="P62" i="1"/>
  <c r="P60" i="1"/>
  <c r="C69" i="3" s="1"/>
  <c r="H62" i="1"/>
  <c r="L62" i="1" s="1"/>
  <c r="H72" i="1"/>
  <c r="L72" i="1" s="1"/>
  <c r="C81" i="3" s="1"/>
  <c r="H74" i="1"/>
  <c r="L74" i="1" s="1"/>
  <c r="H75" i="1"/>
  <c r="L75" i="1" s="1"/>
  <c r="H76" i="1"/>
  <c r="L76" i="1" s="1"/>
  <c r="H77" i="1"/>
  <c r="L77" i="1" s="1"/>
  <c r="C86" i="3" s="1"/>
  <c r="H78" i="1"/>
  <c r="L78" i="1" s="1"/>
  <c r="H79" i="1"/>
  <c r="L79" i="1" s="1"/>
  <c r="C88" i="3" s="1"/>
  <c r="P47" i="1"/>
  <c r="P48" i="1"/>
  <c r="P49" i="1"/>
  <c r="P50" i="1"/>
  <c r="P51" i="1"/>
  <c r="P52" i="1"/>
  <c r="H47" i="1"/>
  <c r="L47" i="1" s="1"/>
  <c r="H48" i="1"/>
  <c r="L48" i="1" s="1"/>
  <c r="C57" i="3" s="1"/>
  <c r="H49" i="1"/>
  <c r="L49" i="1" s="1"/>
  <c r="C58" i="3" s="1"/>
  <c r="H50" i="1"/>
  <c r="L50" i="1" s="1"/>
  <c r="C59" i="3" s="1"/>
  <c r="H51" i="1"/>
  <c r="L51" i="1" s="1"/>
  <c r="H52" i="1"/>
  <c r="L52" i="1" s="1"/>
  <c r="P40" i="1"/>
  <c r="P41" i="1"/>
  <c r="P42" i="1"/>
  <c r="P43" i="1"/>
  <c r="P44" i="1"/>
  <c r="P45" i="1"/>
  <c r="H40" i="1"/>
  <c r="L40" i="1" s="1"/>
  <c r="H41" i="1"/>
  <c r="L41" i="1" s="1"/>
  <c r="H42" i="1"/>
  <c r="L42" i="1" s="1"/>
  <c r="C51" i="3" s="1"/>
  <c r="H43" i="1"/>
  <c r="L43" i="1" s="1"/>
  <c r="H44" i="1"/>
  <c r="L44" i="1" s="1"/>
  <c r="H45" i="1"/>
  <c r="L45" i="1" s="1"/>
  <c r="C54" i="3" s="1"/>
  <c r="H53" i="1"/>
  <c r="L53" i="1" s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H21" i="1"/>
  <c r="L21" i="1" s="1"/>
  <c r="C30" i="3" s="1"/>
  <c r="H22" i="1"/>
  <c r="L22" i="1" s="1"/>
  <c r="C31" i="3" s="1"/>
  <c r="H23" i="1"/>
  <c r="L23" i="1" s="1"/>
  <c r="C32" i="3" s="1"/>
  <c r="H24" i="1"/>
  <c r="L24" i="1" s="1"/>
  <c r="C33" i="3" s="1"/>
  <c r="H25" i="1"/>
  <c r="L25" i="1" s="1"/>
  <c r="H26" i="1"/>
  <c r="L26" i="1" s="1"/>
  <c r="C35" i="3" s="1"/>
  <c r="H27" i="1"/>
  <c r="L27" i="1" s="1"/>
  <c r="H28" i="1"/>
  <c r="L28" i="1" s="1"/>
  <c r="H29" i="1"/>
  <c r="L29" i="1" s="1"/>
  <c r="C38" i="3" s="1"/>
  <c r="H30" i="1"/>
  <c r="L30" i="1" s="1"/>
  <c r="C39" i="3" s="1"/>
  <c r="H31" i="1"/>
  <c r="L31" i="1" s="1"/>
  <c r="C40" i="3" s="1"/>
  <c r="H32" i="1"/>
  <c r="L32" i="1" s="1"/>
  <c r="C41" i="3" s="1"/>
  <c r="H33" i="1"/>
  <c r="L33" i="1" s="1"/>
  <c r="H34" i="1"/>
  <c r="L34" i="1" s="1"/>
  <c r="C43" i="3" s="1"/>
  <c r="H35" i="1"/>
  <c r="L35" i="1" s="1"/>
  <c r="H36" i="1"/>
  <c r="L36" i="1" s="1"/>
  <c r="C45" i="3" s="1"/>
  <c r="H37" i="1"/>
  <c r="L37" i="1" s="1"/>
  <c r="C46" i="3" s="1"/>
  <c r="D18" i="3" l="1" a="1"/>
  <c r="D18" i="3" s="1"/>
  <c r="B9" i="1"/>
  <c r="C42" i="3"/>
  <c r="C34" i="3"/>
  <c r="C53" i="3"/>
  <c r="C56" i="3"/>
  <c r="C87" i="3"/>
  <c r="C50" i="3"/>
  <c r="C84" i="3"/>
  <c r="C49" i="3"/>
  <c r="C60" i="3"/>
  <c r="C83" i="3"/>
  <c r="C85" i="3"/>
  <c r="C52" i="3"/>
  <c r="C44" i="3"/>
  <c r="S62" i="1"/>
  <c r="C71" i="3"/>
  <c r="C61" i="3"/>
  <c r="S53" i="1"/>
  <c r="C62" i="3"/>
  <c r="C37" i="3"/>
  <c r="C36" i="3"/>
  <c r="S8" i="1"/>
  <c r="T8" i="1" s="1" a="1"/>
  <c r="T8" i="1" s="1"/>
  <c r="C17" i="3"/>
  <c r="S51" i="1"/>
  <c r="T51" i="1" s="1" a="1"/>
  <c r="T51" i="1" s="1"/>
  <c r="D60" i="3" s="1" a="1"/>
  <c r="D60" i="3" s="1"/>
  <c r="S49" i="1"/>
  <c r="T49" i="1" s="1" a="1"/>
  <c r="T49" i="1" s="1"/>
  <c r="D58" i="3" s="1" a="1"/>
  <c r="D58" i="3" s="1"/>
  <c r="S50" i="1"/>
  <c r="T50" i="1" s="1" a="1"/>
  <c r="T50" i="1" s="1"/>
  <c r="D59" i="3" s="1" a="1"/>
  <c r="D59" i="3" s="1"/>
  <c r="S48" i="1"/>
  <c r="T126" i="1" a="1"/>
  <c r="T126" i="1" s="1"/>
  <c r="D135" i="3" s="1" a="1"/>
  <c r="D135" i="3" s="1"/>
  <c r="S79" i="1"/>
  <c r="T79" i="1" s="1" a="1"/>
  <c r="T79" i="1" s="1"/>
  <c r="D88" i="3" s="1" a="1"/>
  <c r="D88" i="3" s="1"/>
  <c r="S78" i="1"/>
  <c r="S77" i="1"/>
  <c r="T77" i="1" s="1" a="1"/>
  <c r="T77" i="1" s="1"/>
  <c r="D86" i="3" s="1" a="1"/>
  <c r="D86" i="3" s="1"/>
  <c r="S76" i="1"/>
  <c r="T76" i="1" s="1" a="1"/>
  <c r="T76" i="1" s="1"/>
  <c r="D85" i="3" s="1" a="1"/>
  <c r="D85" i="3" s="1"/>
  <c r="S75" i="1"/>
  <c r="T75" i="1" s="1" a="1"/>
  <c r="T75" i="1" s="1"/>
  <c r="D84" i="3" s="1" a="1"/>
  <c r="D84" i="3" s="1"/>
  <c r="S74" i="1"/>
  <c r="T74" i="1" s="1" a="1"/>
  <c r="T74" i="1" s="1"/>
  <c r="D83" i="3" s="1" a="1"/>
  <c r="D83" i="3" s="1"/>
  <c r="S52" i="1"/>
  <c r="T52" i="1" s="1" a="1"/>
  <c r="T52" i="1" s="1"/>
  <c r="D61" i="3" s="1" a="1"/>
  <c r="D61" i="3" s="1"/>
  <c r="S60" i="1"/>
  <c r="S72" i="1"/>
  <c r="T72" i="1" s="1" a="1"/>
  <c r="T72" i="1" s="1"/>
  <c r="D81" i="3" s="1" a="1"/>
  <c r="D81" i="3" s="1"/>
  <c r="T10" i="1" a="1"/>
  <c r="T10" i="1" s="1"/>
  <c r="T13" i="1" a="1"/>
  <c r="T13" i="1" s="1"/>
  <c r="D22" i="3" s="1" a="1"/>
  <c r="D22" i="3" s="1"/>
  <c r="T14" i="1" a="1"/>
  <c r="T14" i="1" s="1"/>
  <c r="D23" i="3" s="1" a="1"/>
  <c r="D23" i="3" s="1"/>
  <c r="T16" i="1" a="1"/>
  <c r="T16" i="1" s="1"/>
  <c r="D25" i="3" s="1" a="1"/>
  <c r="D25" i="3" s="1"/>
  <c r="T17" i="1" a="1"/>
  <c r="T17" i="1" s="1"/>
  <c r="D26" i="3" s="1" a="1"/>
  <c r="D26" i="3" s="1"/>
  <c r="T12" i="1" a="1"/>
  <c r="T12" i="1" s="1"/>
  <c r="T11" i="1" a="1"/>
  <c r="T11" i="1" s="1"/>
  <c r="D20" i="3" s="1" a="1"/>
  <c r="D20" i="3" s="1"/>
  <c r="S41" i="1"/>
  <c r="T41" i="1" s="1" a="1"/>
  <c r="T41" i="1" s="1"/>
  <c r="D50" i="3" s="1" a="1"/>
  <c r="D50" i="3" s="1"/>
  <c r="T78" i="1" a="1"/>
  <c r="T78" i="1" s="1"/>
  <c r="D87" i="3" s="1" a="1"/>
  <c r="D87" i="3" s="1"/>
  <c r="S34" i="1"/>
  <c r="T34" i="1" s="1" a="1"/>
  <c r="T34" i="1" s="1"/>
  <c r="D43" i="3" s="1" a="1"/>
  <c r="D43" i="3" s="1"/>
  <c r="S30" i="1"/>
  <c r="T30" i="1" s="1" a="1"/>
  <c r="T30" i="1" s="1"/>
  <c r="D39" i="3" s="1" a="1"/>
  <c r="D39" i="3" s="1"/>
  <c r="S27" i="1"/>
  <c r="T27" i="1" s="1" a="1"/>
  <c r="T27" i="1" s="1"/>
  <c r="D36" i="3" s="1" a="1"/>
  <c r="D36" i="3" s="1"/>
  <c r="S25" i="1"/>
  <c r="T25" i="1" s="1" a="1"/>
  <c r="T25" i="1" s="1"/>
  <c r="D34" i="3" s="1" a="1"/>
  <c r="D34" i="3" s="1"/>
  <c r="S21" i="1"/>
  <c r="T21" i="1" s="1" a="1"/>
  <c r="T21" i="1" s="1"/>
  <c r="D30" i="3" s="1" a="1"/>
  <c r="D30" i="3" s="1"/>
  <c r="S37" i="1"/>
  <c r="T37" i="1" s="1" a="1"/>
  <c r="T37" i="1" s="1"/>
  <c r="D46" i="3" s="1" a="1"/>
  <c r="D46" i="3" s="1"/>
  <c r="S32" i="1"/>
  <c r="T32" i="1" s="1" a="1"/>
  <c r="T32" i="1" s="1"/>
  <c r="D41" i="3" s="1" a="1"/>
  <c r="D41" i="3" s="1"/>
  <c r="T62" i="1" a="1"/>
  <c r="T62" i="1" s="1"/>
  <c r="D71" i="3" s="1" a="1"/>
  <c r="D71" i="3" s="1"/>
  <c r="S35" i="1"/>
  <c r="T35" i="1" s="1" a="1"/>
  <c r="T35" i="1" s="1"/>
  <c r="D44" i="3" s="1" a="1"/>
  <c r="D44" i="3" s="1"/>
  <c r="T60" i="1" a="1"/>
  <c r="T60" i="1" s="1"/>
  <c r="D69" i="3" s="1" a="1"/>
  <c r="D69" i="3" s="1"/>
  <c r="S31" i="1"/>
  <c r="T31" i="1" s="1" a="1"/>
  <c r="T31" i="1" s="1"/>
  <c r="D40" i="3" s="1" a="1"/>
  <c r="D40" i="3" s="1"/>
  <c r="S36" i="1"/>
  <c r="T36" i="1" s="1" a="1"/>
  <c r="T36" i="1" s="1"/>
  <c r="D45" i="3" s="1" a="1"/>
  <c r="D45" i="3" s="1"/>
  <c r="S29" i="1"/>
  <c r="T29" i="1" s="1" a="1"/>
  <c r="T29" i="1" s="1"/>
  <c r="D38" i="3" s="1" a="1"/>
  <c r="D38" i="3" s="1"/>
  <c r="T53" i="1" a="1"/>
  <c r="T53" i="1" s="1"/>
  <c r="D62" i="3" s="1" a="1"/>
  <c r="D62" i="3" s="1"/>
  <c r="S28" i="1"/>
  <c r="T28" i="1" s="1" a="1"/>
  <c r="T28" i="1" s="1"/>
  <c r="D37" i="3" s="1" a="1"/>
  <c r="D37" i="3" s="1"/>
  <c r="S45" i="1"/>
  <c r="T45" i="1" s="1" a="1"/>
  <c r="T45" i="1" s="1"/>
  <c r="D54" i="3" s="1" a="1"/>
  <c r="D54" i="3" s="1"/>
  <c r="T48" i="1" a="1"/>
  <c r="T48" i="1" s="1"/>
  <c r="D57" i="3" s="1" a="1"/>
  <c r="D57" i="3" s="1"/>
  <c r="S44" i="1"/>
  <c r="T44" i="1" s="1" a="1"/>
  <c r="T44" i="1" s="1"/>
  <c r="D53" i="3" s="1" a="1"/>
  <c r="D53" i="3" s="1"/>
  <c r="S47" i="1"/>
  <c r="T47" i="1" s="1" a="1"/>
  <c r="T47" i="1" s="1"/>
  <c r="D56" i="3" s="1" a="1"/>
  <c r="D56" i="3" s="1"/>
  <c r="S26" i="1"/>
  <c r="S43" i="1"/>
  <c r="T43" i="1" s="1" a="1"/>
  <c r="T43" i="1" s="1"/>
  <c r="D52" i="3" s="1" a="1"/>
  <c r="D52" i="3" s="1"/>
  <c r="S42" i="1"/>
  <c r="T42" i="1" s="1" a="1"/>
  <c r="T42" i="1" s="1"/>
  <c r="D51" i="3" s="1" a="1"/>
  <c r="D51" i="3" s="1"/>
  <c r="S24" i="1"/>
  <c r="T24" i="1" s="1" a="1"/>
  <c r="T24" i="1" s="1"/>
  <c r="D33" i="3" s="1" a="1"/>
  <c r="D33" i="3" s="1"/>
  <c r="S23" i="1"/>
  <c r="T23" i="1" s="1" a="1"/>
  <c r="T23" i="1" s="1"/>
  <c r="D32" i="3" s="1" a="1"/>
  <c r="D32" i="3" s="1"/>
  <c r="S40" i="1"/>
  <c r="T40" i="1" s="1" a="1"/>
  <c r="T40" i="1" s="1"/>
  <c r="D49" i="3" s="1" a="1"/>
  <c r="D49" i="3" s="1"/>
  <c r="S33" i="1"/>
  <c r="T33" i="1" s="1" a="1"/>
  <c r="T33" i="1" s="1"/>
  <c r="D42" i="3" s="1" a="1"/>
  <c r="D42" i="3" s="1"/>
  <c r="S22" i="1"/>
  <c r="T22" i="1" s="1" a="1"/>
  <c r="T22" i="1" s="1"/>
  <c r="D31" i="3" s="1" a="1"/>
  <c r="D31" i="3" s="1"/>
  <c r="D21" i="3" l="1" a="1"/>
  <c r="D21" i="3" s="1"/>
  <c r="B12" i="1"/>
  <c r="D19" i="3" a="1"/>
  <c r="D19" i="3" s="1"/>
  <c r="B10" i="1"/>
  <c r="D17" i="3" a="1"/>
  <c r="D17" i="3" s="1"/>
  <c r="B8" i="1"/>
  <c r="T26" i="1" a="1"/>
  <c r="T26" i="1" s="1"/>
  <c r="D35" i="3" s="1" a="1"/>
  <c r="D35" i="3" s="1"/>
  <c r="K155" i="1"/>
  <c r="P91" i="1" l="1"/>
  <c r="P92" i="1"/>
  <c r="H90" i="1"/>
  <c r="L90" i="1" s="1"/>
  <c r="H91" i="1"/>
  <c r="L91" i="1" s="1"/>
  <c r="C100" i="3" s="1"/>
  <c r="H92" i="1"/>
  <c r="L92" i="1" s="1"/>
  <c r="C101" i="3" s="1"/>
  <c r="P90" i="1"/>
  <c r="P105" i="1"/>
  <c r="H105" i="1"/>
  <c r="L105" i="1" s="1"/>
  <c r="C114" i="3" s="1"/>
  <c r="C99" i="3" l="1"/>
  <c r="S90" i="1"/>
  <c r="S92" i="1"/>
  <c r="S91" i="1"/>
  <c r="S105" i="1"/>
  <c r="T105" i="1" s="1" a="1"/>
  <c r="T105" i="1" s="1"/>
  <c r="D114" i="3" s="1" a="1"/>
  <c r="D114" i="3" s="1"/>
  <c r="T91" i="1" a="1"/>
  <c r="T91" i="1" s="1"/>
  <c r="D100" i="3" s="1" a="1"/>
  <c r="D100" i="3" s="1"/>
  <c r="T92" i="1" a="1"/>
  <c r="T92" i="1" s="1"/>
  <c r="D101" i="3" s="1" a="1"/>
  <c r="D101" i="3" s="1"/>
  <c r="E8" i="4"/>
  <c r="E148" i="4" s="1"/>
  <c r="T90" i="1" l="1" a="1"/>
  <c r="T90" i="1" s="1"/>
  <c r="D99" i="3" s="1" a="1"/>
  <c r="D99" i="3" s="1"/>
  <c r="P138" i="1"/>
  <c r="P139" i="1"/>
  <c r="P140" i="1"/>
  <c r="H138" i="1"/>
  <c r="L138" i="1" s="1"/>
  <c r="C147" i="3" s="1"/>
  <c r="H139" i="1"/>
  <c r="L139" i="1" s="1"/>
  <c r="C148" i="3" s="1"/>
  <c r="H140" i="1"/>
  <c r="L140" i="1" s="1"/>
  <c r="C149" i="3" s="1"/>
  <c r="P83" i="1"/>
  <c r="H83" i="1"/>
  <c r="L83" i="1" s="1"/>
  <c r="C92" i="3" s="1"/>
  <c r="P97" i="1"/>
  <c r="P98" i="1"/>
  <c r="P99" i="1"/>
  <c r="P100" i="1"/>
  <c r="H97" i="1"/>
  <c r="L97" i="1" s="1"/>
  <c r="C106" i="3" s="1"/>
  <c r="H98" i="1"/>
  <c r="L98" i="1" s="1"/>
  <c r="C107" i="3" s="1"/>
  <c r="H99" i="1"/>
  <c r="L99" i="1" s="1"/>
  <c r="C108" i="3" s="1"/>
  <c r="H100" i="1"/>
  <c r="L100" i="1" s="1"/>
  <c r="C109" i="3" s="1"/>
  <c r="H101" i="1"/>
  <c r="S140" i="1" l="1"/>
  <c r="S139" i="1"/>
  <c r="T139" i="1" s="1" a="1"/>
  <c r="T139" i="1" s="1"/>
  <c r="D148" i="3" s="1" a="1"/>
  <c r="D148" i="3" s="1"/>
  <c r="S138" i="1"/>
  <c r="T138" i="1" s="1" a="1"/>
  <c r="T138" i="1" s="1"/>
  <c r="D147" i="3" s="1" a="1"/>
  <c r="D147" i="3" s="1"/>
  <c r="S97" i="1"/>
  <c r="S100" i="1"/>
  <c r="T100" i="1" s="1" a="1"/>
  <c r="T100" i="1" s="1"/>
  <c r="D109" i="3" s="1" a="1"/>
  <c r="D109" i="3" s="1"/>
  <c r="S99" i="1"/>
  <c r="T99" i="1" s="1" a="1"/>
  <c r="T99" i="1" s="1"/>
  <c r="D108" i="3" s="1" a="1"/>
  <c r="D108" i="3" s="1"/>
  <c r="S98" i="1"/>
  <c r="T98" i="1" s="1" a="1"/>
  <c r="T98" i="1" s="1"/>
  <c r="D107" i="3" s="1" a="1"/>
  <c r="D107" i="3" s="1"/>
  <c r="S83" i="1"/>
  <c r="T83" i="1" s="1" a="1"/>
  <c r="T83" i="1" s="1"/>
  <c r="D92" i="3" s="1" a="1"/>
  <c r="D92" i="3" s="1"/>
  <c r="T97" i="1" a="1"/>
  <c r="T97" i="1" s="1"/>
  <c r="D106" i="3" s="1" a="1"/>
  <c r="D106" i="3" s="1"/>
  <c r="T140" i="1" a="1"/>
  <c r="T140" i="1" s="1"/>
  <c r="D149" i="3" s="1" a="1"/>
  <c r="D149" i="3" s="1"/>
  <c r="P147" i="1"/>
  <c r="H147" i="1"/>
  <c r="L147" i="1" s="1"/>
  <c r="P146" i="1"/>
  <c r="H146" i="1"/>
  <c r="L146" i="1" s="1"/>
  <c r="C155" i="3" s="1"/>
  <c r="P145" i="1"/>
  <c r="H144" i="1"/>
  <c r="H145" i="1"/>
  <c r="L145" i="1" s="1"/>
  <c r="C154" i="3" l="1"/>
  <c r="C156" i="3"/>
  <c r="S147" i="1"/>
  <c r="T147" i="1" s="1" a="1"/>
  <c r="T147" i="1" s="1"/>
  <c r="D156" i="3" s="1" a="1"/>
  <c r="D156" i="3" s="1"/>
  <c r="S146" i="1"/>
  <c r="T146" i="1" s="1" a="1"/>
  <c r="T146" i="1" s="1"/>
  <c r="D155" i="3" s="1" a="1"/>
  <c r="D155" i="3" s="1"/>
  <c r="S145" i="1"/>
  <c r="T145" i="1" s="1" a="1"/>
  <c r="T145" i="1" s="1"/>
  <c r="D154" i="3" s="1" a="1"/>
  <c r="D154" i="3" s="1"/>
  <c r="L144" i="1"/>
  <c r="P137" i="1"/>
  <c r="P141" i="1"/>
  <c r="C150" i="3" s="1"/>
  <c r="H141" i="1"/>
  <c r="L141" i="1" s="1"/>
  <c r="H137" i="1"/>
  <c r="L137" i="1" s="1"/>
  <c r="H136" i="1"/>
  <c r="L136" i="1" s="1"/>
  <c r="H123" i="1"/>
  <c r="L123" i="1" s="1"/>
  <c r="P119" i="1"/>
  <c r="H119" i="1"/>
  <c r="L119" i="1" s="1"/>
  <c r="C128" i="3" s="1"/>
  <c r="P118" i="1"/>
  <c r="H118" i="1"/>
  <c r="L118" i="1" s="1"/>
  <c r="C127" i="3" s="1"/>
  <c r="P104" i="1"/>
  <c r="H104" i="1"/>
  <c r="L104" i="1" s="1"/>
  <c r="C113" i="3" s="1"/>
  <c r="P103" i="1"/>
  <c r="H103" i="1"/>
  <c r="L103" i="1" s="1"/>
  <c r="P101" i="1"/>
  <c r="L101" i="1"/>
  <c r="C110" i="3" s="1"/>
  <c r="P95" i="1"/>
  <c r="H95" i="1"/>
  <c r="L95" i="1" s="1"/>
  <c r="P94" i="1"/>
  <c r="H94" i="1"/>
  <c r="L94" i="1" s="1"/>
  <c r="C103" i="3" s="1"/>
  <c r="P93" i="1"/>
  <c r="H93" i="1"/>
  <c r="L93" i="1" s="1"/>
  <c r="C102" i="3" s="1"/>
  <c r="P89" i="1"/>
  <c r="H89" i="1"/>
  <c r="L89" i="1" s="1"/>
  <c r="C98" i="3" s="1"/>
  <c r="P87" i="1"/>
  <c r="H87" i="1"/>
  <c r="L87" i="1" s="1"/>
  <c r="C96" i="3" s="1"/>
  <c r="P86" i="1"/>
  <c r="H86" i="1"/>
  <c r="L86" i="1" s="1"/>
  <c r="C95" i="3" s="1"/>
  <c r="P85" i="1"/>
  <c r="H85" i="1"/>
  <c r="L85" i="1" s="1"/>
  <c r="C94" i="3" s="1"/>
  <c r="P84" i="1"/>
  <c r="H84" i="1"/>
  <c r="L84" i="1" s="1"/>
  <c r="C93" i="3" s="1"/>
  <c r="P82" i="1"/>
  <c r="H82" i="1"/>
  <c r="L82" i="1" s="1"/>
  <c r="C91" i="3" s="1"/>
  <c r="P81" i="1"/>
  <c r="H81" i="1"/>
  <c r="L81" i="1" s="1"/>
  <c r="C90" i="3" s="1"/>
  <c r="P20" i="1"/>
  <c r="H20" i="1"/>
  <c r="S144" i="1" l="1"/>
  <c r="T144" i="1" s="1" a="1"/>
  <c r="T144" i="1" s="1"/>
  <c r="D153" i="3" s="1" a="1"/>
  <c r="D153" i="3" s="1"/>
  <c r="C153" i="3"/>
  <c r="C112" i="3"/>
  <c r="S95" i="1"/>
  <c r="C104" i="3"/>
  <c r="S136" i="1"/>
  <c r="T136" i="1" s="1" a="1"/>
  <c r="T136" i="1" s="1"/>
  <c r="D145" i="3" s="1" a="1"/>
  <c r="D145" i="3" s="1"/>
  <c r="C145" i="3"/>
  <c r="C146" i="3"/>
  <c r="S123" i="1"/>
  <c r="T123" i="1" s="1" a="1"/>
  <c r="T123" i="1" s="1"/>
  <c r="D132" i="3" s="1" a="1"/>
  <c r="D132" i="3" s="1"/>
  <c r="C132" i="3"/>
  <c r="S93" i="1"/>
  <c r="S81" i="1"/>
  <c r="S89" i="1"/>
  <c r="T89" i="1" s="1" a="1"/>
  <c r="T89" i="1" s="1"/>
  <c r="D98" i="3" s="1" a="1"/>
  <c r="D98" i="3" s="1"/>
  <c r="S94" i="1"/>
  <c r="T94" i="1" s="1" a="1"/>
  <c r="T94" i="1" s="1"/>
  <c r="D103" i="3" s="1" a="1"/>
  <c r="D103" i="3" s="1"/>
  <c r="S119" i="1"/>
  <c r="S118" i="1"/>
  <c r="T118" i="1" s="1" a="1"/>
  <c r="T118" i="1" s="1"/>
  <c r="D127" i="3" s="1" a="1"/>
  <c r="D127" i="3" s="1"/>
  <c r="S141" i="1"/>
  <c r="T141" i="1" s="1" a="1"/>
  <c r="T141" i="1" s="1"/>
  <c r="D150" i="3" s="1" a="1"/>
  <c r="D150" i="3" s="1"/>
  <c r="S137" i="1"/>
  <c r="T137" i="1" s="1" a="1"/>
  <c r="T137" i="1" s="1"/>
  <c r="D146" i="3" s="1" a="1"/>
  <c r="D146" i="3" s="1"/>
  <c r="S104" i="1"/>
  <c r="S103" i="1"/>
  <c r="S101" i="1"/>
  <c r="S87" i="1"/>
  <c r="T87" i="1" s="1" a="1"/>
  <c r="T87" i="1" s="1"/>
  <c r="D96" i="3" s="1" a="1"/>
  <c r="D96" i="3" s="1"/>
  <c r="S86" i="1"/>
  <c r="S85" i="1"/>
  <c r="S84" i="1"/>
  <c r="T84" i="1" s="1" a="1"/>
  <c r="T84" i="1" s="1"/>
  <c r="D93" i="3" s="1" a="1"/>
  <c r="D93" i="3" s="1"/>
  <c r="S82" i="1"/>
  <c r="T82" i="1" s="1" a="1"/>
  <c r="T82" i="1" s="1"/>
  <c r="D91" i="3" s="1" a="1"/>
  <c r="D91" i="3" s="1"/>
  <c r="L20" i="1"/>
  <c r="S20" i="1" s="1"/>
  <c r="T20" i="1" s="1" a="1"/>
  <c r="T20" i="1" s="1"/>
  <c r="H148" i="1"/>
  <c r="P148" i="1"/>
  <c r="T86" i="1" a="1"/>
  <c r="T86" i="1" s="1"/>
  <c r="D95" i="3" s="1" a="1"/>
  <c r="D95" i="3" s="1"/>
  <c r="T104" i="1" a="1"/>
  <c r="T104" i="1" s="1"/>
  <c r="D113" i="3" s="1" a="1"/>
  <c r="D113" i="3" s="1"/>
  <c r="T119" i="1" a="1"/>
  <c r="T119" i="1" s="1"/>
  <c r="D128" i="3" s="1" a="1"/>
  <c r="D128" i="3" s="1"/>
  <c r="T101" i="1" a="1"/>
  <c r="T101" i="1" s="1"/>
  <c r="D110" i="3" s="1" a="1"/>
  <c r="D110" i="3" s="1"/>
  <c r="T95" i="1" a="1"/>
  <c r="T95" i="1" s="1"/>
  <c r="D104" i="3" s="1" a="1"/>
  <c r="D104" i="3" s="1"/>
  <c r="T81" i="1" a="1"/>
  <c r="T81" i="1" s="1"/>
  <c r="D90" i="3" s="1" a="1"/>
  <c r="D90" i="3" s="1"/>
  <c r="T93" i="1" a="1"/>
  <c r="T93" i="1" s="1"/>
  <c r="D102" i="3" s="1" a="1"/>
  <c r="D102" i="3" s="1"/>
  <c r="T85" i="1" a="1"/>
  <c r="T85" i="1" s="1"/>
  <c r="D94" i="3" s="1" a="1"/>
  <c r="D94" i="3" s="1"/>
  <c r="T103" i="1" a="1"/>
  <c r="T103" i="1" s="1"/>
  <c r="D112" i="3" s="1" a="1"/>
  <c r="D112" i="3" s="1"/>
  <c r="D29" i="3" l="1" a="1"/>
  <c r="D29" i="3" s="1"/>
  <c r="B20" i="1"/>
  <c r="C3" i="1" s="1"/>
  <c r="L148" i="1"/>
  <c r="K161" i="6" s="1"/>
  <c r="K159" i="6" s="1"/>
  <c r="K167" i="6" s="1"/>
  <c r="C29" i="3"/>
  <c r="C157" i="3" s="1"/>
  <c r="M161" i="6"/>
  <c r="K170" i="6" s="1"/>
  <c r="K154" i="6"/>
  <c r="N155" i="1"/>
  <c r="L163" i="1" s="1"/>
  <c r="K158" i="6" l="1"/>
  <c r="K166" i="6" s="1"/>
  <c r="K168" i="6" s="1"/>
  <c r="K160" i="6"/>
  <c r="M160" i="6" s="1"/>
  <c r="M162" i="6" s="1"/>
  <c r="K169" i="6" s="1"/>
  <c r="K171" i="6" s="1"/>
  <c r="L155" i="1"/>
  <c r="L153" i="1" s="1"/>
  <c r="L160" i="1" s="1"/>
  <c r="K172" i="6" l="1"/>
  <c r="K174" i="6" s="1"/>
  <c r="L154" i="1"/>
  <c r="N154" i="1" s="1"/>
  <c r="N156" i="1" s="1"/>
  <c r="L162" i="1" s="1"/>
  <c r="L164" i="1" s="1"/>
  <c r="L152" i="1"/>
  <c r="L159" i="1" s="1"/>
  <c r="L161" i="1" s="1"/>
  <c r="L165" i="1" l="1"/>
  <c r="L1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2" authorId="0" shapeId="0" xr:uid="{9A6C1294-EB33-408F-A0F4-7F27125F4949}">
      <text>
        <r>
          <rPr>
            <sz val="9"/>
            <color indexed="81"/>
            <rFont val="Tahoma"/>
            <family val="2"/>
          </rPr>
          <t xml:space="preserve">Tämä täytetty lomake kopioituu välilehtien 
</t>
        </r>
        <r>
          <rPr>
            <b/>
            <sz val="9"/>
            <color indexed="81"/>
            <rFont val="Tahoma"/>
            <family val="2"/>
          </rPr>
          <t>Kustannusarvion koonti
Talkootyön koonti sekä 
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6" authorId="0" shapeId="0" xr:uid="{F1D82849-D8CF-4EED-A1B5-7B8FEF37D1C3}">
      <text>
        <r>
          <rPr>
            <b/>
            <sz val="9"/>
            <color indexed="81"/>
            <rFont val="Tahoma"/>
            <family val="2"/>
          </rPr>
          <t>Kirjoita mistä materiaalista on kyse</t>
        </r>
        <r>
          <rPr>
            <sz val="9"/>
            <color indexed="81"/>
            <rFont val="Tahoma"/>
            <family val="2"/>
          </rPr>
          <t>. Esim. 
Murske 0-16 mm 
Runkopuutavara mitallistettu 58x98
Terassilauta kestopuu 28x95 uritettu
Konesaumattu pelti punainen matta 0,5 mm</t>
        </r>
      </text>
    </comment>
    <comment ref="I6" authorId="0" shapeId="0" xr:uid="{F27A8257-4D17-439C-842C-526FB2373B66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K6" authorId="0" shapeId="0" xr:uid="{3343159C-124E-4C8C-913D-732DFB611D4A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N6" authorId="0" shapeId="0" xr:uid="{93C72849-58A9-4783-A611-03261ECA73EF}">
      <text>
        <r>
          <rPr>
            <sz val="9"/>
            <color indexed="81"/>
            <rFont val="Tahoma"/>
            <family val="2"/>
          </rPr>
          <t xml:space="preserve">Talkootyön hinta on 20 e / h / henkilö.
Tähän merkitään tunnit
</t>
        </r>
      </text>
    </comment>
    <comment ref="O6" authorId="0" shapeId="0" xr:uid="{EDDFC31C-58F4-4D47-B2E4-0599466266E2}">
      <text>
        <r>
          <rPr>
            <sz val="9"/>
            <color indexed="81"/>
            <rFont val="Tahoma"/>
            <family val="2"/>
          </rPr>
          <t>Kone + kuljettaja talkootyön tuntihinta on 60 e / h.
Sarakkeeseen merkitään kone + kuljettaja tunnit</t>
        </r>
      </text>
    </comment>
    <comment ref="R6" authorId="0" shapeId="0" xr:uid="{F45D00F6-34B3-48D2-A9E1-EE731D085B40}">
      <text>
        <r>
          <rPr>
            <sz val="9"/>
            <color indexed="81"/>
            <rFont val="Tahoma"/>
            <family val="2"/>
          </rPr>
          <t xml:space="preserve">Kirjaa arvio töiden mukaan eriteltynä. Ilmoita lomakkeella vähintään 15 vuotta täyttäneen henkilön tekemä työ. Liitä välilehti </t>
        </r>
        <r>
          <rPr>
            <b/>
            <sz val="9"/>
            <color indexed="81"/>
            <rFont val="Tahoma"/>
            <family val="2"/>
          </rPr>
          <t>Talkootyön koonti</t>
        </r>
        <r>
          <rPr>
            <sz val="9"/>
            <color indexed="81"/>
            <rFont val="Tahoma"/>
            <family val="2"/>
          </rPr>
          <t xml:space="preserve"> tukihakemuksen liitteeksi.
</t>
        </r>
      </text>
    </comment>
    <comment ref="B15" authorId="0" shapeId="0" xr:uid="{4C1280EF-7EC4-47CE-B007-264522D2EA0B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C16" authorId="0" shapeId="0" xr:uid="{37FC6989-9989-4A42-927F-66E104F09213}">
      <text>
        <r>
          <rPr>
            <sz val="9"/>
            <color indexed="81"/>
            <rFont val="Tahoma"/>
            <family val="2"/>
          </rPr>
          <t>Jos ylläolevista maksuista ei mikään ole sopiva, niin kirjoita tähän oma teksti.</t>
        </r>
      </text>
    </comment>
    <comment ref="C36" authorId="0" shapeId="0" xr:uid="{FD4D7CBA-F6EF-4822-83B0-40B54D096EC5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59" authorId="0" shapeId="0" xr:uid="{F263C184-FD15-4B91-B020-533DCC32F08F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60" authorId="0" shapeId="0" xr:uid="{FEB95034-66B0-4B46-9A1D-BF5295FB87D9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62" authorId="0" shapeId="0" xr:uid="{06F8BF3B-C937-4D06-9E11-D4F360C7CF40}">
      <text>
        <r>
          <rPr>
            <sz val="9"/>
            <color indexed="81"/>
            <rFont val="Tahoma"/>
            <family val="2"/>
          </rPr>
          <t>Ulkoseinärakenteita voi olla samassa rakennuksessa erilaisia. 
Tässä voit käyttää ulkoseinärakenteen viitekustannusta. Huomioi, että Alv on silloin 0%)
Avaa selite kohdassa materiaalit ja rakennusselostus kohdassa rakenteet.</t>
        </r>
      </text>
    </comment>
    <comment ref="C69" authorId="0" shapeId="0" xr:uid="{EFEAD30A-28C6-47C1-AD86-3799D3018F85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78" authorId="0" shapeId="0" xr:uid="{AD140326-1A94-4426-8773-4F55A760C6A8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86" authorId="0" shapeId="0" xr:uid="{1CCCB76F-FB14-4EA1-B4F6-F8277FAC5B26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95" authorId="0" shapeId="0" xr:uid="{44D16602-5478-48DF-AF64-8631F2FFD15D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105" authorId="0" shapeId="0" xr:uid="{E9FDEFEB-5F65-40FA-BA6A-C8819E52D86A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113" authorId="0" shapeId="0" xr:uid="{8626719D-100A-4A43-A0CE-5A2061F43FC0}">
      <text>
        <r>
          <rPr>
            <sz val="9"/>
            <color indexed="81"/>
            <rFont val="Tahoma"/>
            <family val="2"/>
          </rPr>
          <t xml:space="preserve">Voit kirjoittaa tähän oman tekstin
</t>
        </r>
      </text>
    </comment>
    <comment ref="C134" authorId="0" shapeId="0" xr:uid="{42C28664-DD29-4E5F-A5E1-4BC38CFDB7D5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144" authorId="0" shapeId="0" xr:uid="{6D07F120-3E44-4802-8D5B-C3A8B236B15E}">
      <text>
        <r>
          <rPr>
            <sz val="9"/>
            <color indexed="81"/>
            <rFont val="Tahoma"/>
            <family val="2"/>
          </rPr>
          <t>Näille riveille voi kirjoittaa tuotteen tai palvelun, jos jotain artikkelia ei löydy.</t>
        </r>
      </text>
    </comment>
    <comment ref="J152" authorId="0" shapeId="0" xr:uid="{5EC46B87-AE3B-4F87-BAF4-451D0B246227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J153" authorId="0" shapeId="0" xr:uid="{0AC66456-1123-4A59-B41E-1BA90B158626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J154" authorId="0" shapeId="0" xr:uid="{946A0551-7A26-4C4C-9C63-5AE8CB8776C0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N154" authorId="0" shapeId="0" xr:uid="{2141CB07-1221-4AB4-861B-5C77BD7C991A}">
      <text>
        <r>
          <rPr>
            <sz val="9"/>
            <color indexed="81"/>
            <rFont val="Tahoma"/>
            <family val="2"/>
          </rPr>
          <t>Yksityinen raha jakaantuu vastikkeettomaan työhön sekä yksityiseen rahaan.</t>
        </r>
      </text>
    </comment>
    <comment ref="J155" authorId="0" shapeId="0" xr:uid="{5169E16F-0FF6-4FB5-BE0F-572AA35B75D5}">
      <text>
        <r>
          <rPr>
            <sz val="9"/>
            <color indexed="81"/>
            <rFont val="Tahoma"/>
            <family val="2"/>
          </rPr>
          <t>Kokonaiskustannukset muodostuvat tositteellisten kustannuksten ja vastikkeettoman työn summasta</t>
        </r>
      </text>
    </comment>
    <comment ref="N155" authorId="0" shapeId="0" xr:uid="{69F2FF69-515C-4264-BCB3-291066987300}">
      <text>
        <r>
          <rPr>
            <sz val="9"/>
            <color indexed="81"/>
            <rFont val="Tahoma"/>
            <family val="2"/>
          </rPr>
          <t xml:space="preserve">Kustannusarvioissa </t>
        </r>
        <r>
          <rPr>
            <b/>
            <sz val="9"/>
            <color indexed="81"/>
            <rFont val="Tahoma"/>
            <family val="2"/>
          </rPr>
          <t>suunniteltu vastikkeeton työ</t>
        </r>
        <r>
          <rPr>
            <sz val="9"/>
            <color indexed="81"/>
            <rFont val="Tahoma"/>
            <family val="2"/>
          </rPr>
          <t xml:space="preserve"> kirjautuu tähän.
Jos solu on </t>
        </r>
        <r>
          <rPr>
            <b/>
            <sz val="9"/>
            <color indexed="81"/>
            <rFont val="Tahoma"/>
            <family val="2"/>
          </rPr>
          <t>musta, vastikkeetonta työtä on kirjattu liikaa, s</t>
        </r>
        <r>
          <rPr>
            <sz val="9"/>
            <color indexed="81"/>
            <rFont val="Tahoma"/>
            <family val="2"/>
          </rPr>
          <t>inun tulee silloin ottaa yhteyttä rahoittajaan ja keskustella talkootöiden sisällöstä talkootyösuunnitelmassa</t>
        </r>
      </text>
    </comment>
    <comment ref="N156" authorId="0" shapeId="0" xr:uid="{AF0F6AEF-6874-4F18-9F78-99312435D41C}">
      <text>
        <r>
          <rPr>
            <sz val="9"/>
            <color indexed="81"/>
            <rFont val="Tahoma"/>
            <family val="2"/>
          </rPr>
          <t xml:space="preserve">Suunnitellun </t>
        </r>
        <r>
          <rPr>
            <b/>
            <sz val="9"/>
            <color indexed="81"/>
            <rFont val="Tahoma"/>
            <family val="2"/>
          </rPr>
          <t xml:space="preserve">vastikkeettoman työn </t>
        </r>
        <r>
          <rPr>
            <sz val="9"/>
            <color indexed="81"/>
            <rFont val="Tahoma"/>
            <family val="2"/>
          </rPr>
          <t>lisäksi,  tarvitaan vielä tämän verran rahallista rahaa.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10" authorId="0" shapeId="0" xr:uid="{F8005912-891C-4F3F-8D0D-B69B37FCC213}">
      <text>
        <r>
          <rPr>
            <b/>
            <sz val="9"/>
            <color indexed="81"/>
            <rFont val="Tahoma"/>
            <family val="2"/>
          </rPr>
          <t xml:space="preserve">Tätä taulukkoa ei voi muokata.
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Tulosta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Tallenna Adobe -PDF tiedostona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C12" authorId="0" shapeId="0" xr:uid="{B71EBD2E-BBBD-4061-B001-C2B3F3F44EAA}">
      <text>
        <r>
          <rPr>
            <sz val="9"/>
            <color indexed="81"/>
            <rFont val="Tahoma"/>
            <family val="2"/>
          </rPr>
          <t>Jos teksti menee solun rajojen yli, niin valitse ylävalikosta Aloitus -&gt; Rivitä teksti
Lisätietoa ohjeessa.</t>
        </r>
      </text>
    </comment>
    <comment ref="B20" authorId="0" shapeId="0" xr:uid="{6D297F6B-8AEE-4D89-A6BE-88C16836A64C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1" authorId="0" shapeId="0" xr:uid="{90746098-FDC5-4AAA-BAEB-38828775126A}">
      <text>
        <r>
          <rPr>
            <sz val="9"/>
            <color indexed="81"/>
            <rFont val="Tahoma"/>
            <family val="2"/>
          </rPr>
          <t xml:space="preserve">Tiedot tulevat Hankkeen tiedot välilehdeltä.
 Muut tiedot kustannusarvion talkootyölomakkeen riveltä.
</t>
        </r>
        <r>
          <rPr>
            <b/>
            <sz val="9"/>
            <color indexed="81"/>
            <rFont val="Tahoma"/>
            <family val="2"/>
          </rPr>
          <t>Tätä välilehteä ei voi muokat</t>
        </r>
        <r>
          <rPr>
            <sz val="9"/>
            <color indexed="81"/>
            <rFont val="Tahoma"/>
            <family val="2"/>
          </rPr>
          <t>a. Tallenna tämä välilehti .PDF muotoon. Katso ohje välilehteä miten se tehdään.</t>
        </r>
      </text>
    </comment>
    <comment ref="B5" authorId="0" shapeId="0" xr:uid="{81B2C432-3ACF-49D1-AF10-C5C0335D2A5A}">
      <text>
        <r>
          <rPr>
            <sz val="9"/>
            <color indexed="81"/>
            <rFont val="Tahoma"/>
            <family val="2"/>
          </rPr>
          <t xml:space="preserve">
Tätä taulukkoa ei voi muokata.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</t>
        </r>
        <r>
          <rPr>
            <sz val="9"/>
            <color indexed="81"/>
            <rFont val="Tahoma"/>
            <family val="2"/>
          </rPr>
          <t xml:space="preserve">.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Tallenna Adobe -PDF tiedostona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5" authorId="0" shapeId="0" xr:uid="{61B1798E-7446-4A2D-AE47-F5B8F40F0C25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C864478B-EA79-4454-9837-A4969C40FB35}">
      <text>
        <r>
          <rPr>
            <sz val="9"/>
            <color indexed="81"/>
            <rFont val="Tahoma"/>
            <family val="2"/>
          </rPr>
          <t>T</t>
        </r>
        <r>
          <rPr>
            <b/>
            <sz val="9"/>
            <color indexed="81"/>
            <rFont val="Tahoma"/>
            <family val="2"/>
          </rPr>
          <t>ätä taulukkoa ei voi muokata.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 xml:space="preserve">Tallenna Adobe -PDF tiedostona.
</t>
        </r>
      </text>
    </comment>
    <comment ref="B3" authorId="0" shapeId="0" xr:uid="{F7AE08E6-184E-4339-9796-EF5881E04D73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9" authorId="0" shapeId="0" xr:uid="{44A91FF1-EC53-4A28-A703-9CA8667C11C3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C14" authorId="0" shapeId="0" xr:uid="{203A0A86-5BA8-4F2A-B947-CFC06E1384C6}">
      <text>
        <r>
          <rPr>
            <sz val="9"/>
            <color indexed="81"/>
            <rFont val="Tahoma"/>
            <family val="2"/>
          </rPr>
          <t>Tälle sarakkeelle tulevat tositteelliset + vastikkeeton työ yhteensä</t>
        </r>
      </text>
    </comment>
    <comment ref="B24" authorId="0" shapeId="0" xr:uid="{7B0AB257-531E-4B3D-A780-539A805179EE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B157" authorId="0" shapeId="0" xr:uid="{2DF0D589-CFDA-4763-A0C9-03BEF56F3371}">
      <text>
        <r>
          <rPr>
            <sz val="9"/>
            <color indexed="81"/>
            <rFont val="Tahoma"/>
            <family val="2"/>
          </rPr>
          <t>Kokonaiskustannukset ovat
tositteelliset kustannukset + vastikkeetontyö yhteensä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<sst xmlns="http://schemas.openxmlformats.org/spreadsheetml/2006/main" count="518" uniqueCount="222">
  <si>
    <t>Määrä</t>
  </si>
  <si>
    <t>á hinta €</t>
  </si>
  <si>
    <t>Konetyö + kuljettaja tunnit h (talkoo)</t>
  </si>
  <si>
    <t>Talkootyö yhteensä €</t>
  </si>
  <si>
    <t>Kantavat väliseinät</t>
  </si>
  <si>
    <t>Katokset</t>
  </si>
  <si>
    <t>Ikkunat</t>
  </si>
  <si>
    <t>Ulko-ovet</t>
  </si>
  <si>
    <t>Vesijohdot</t>
  </si>
  <si>
    <t>Nostot</t>
  </si>
  <si>
    <t>Siirrot</t>
  </si>
  <si>
    <t>Vakuutukset</t>
  </si>
  <si>
    <t>Katselmukset</t>
  </si>
  <si>
    <t>LVIS liittymismaksut</t>
  </si>
  <si>
    <t>Pihateiden pohjarakenteet</t>
  </si>
  <si>
    <t>Pihateiden pintarakenteet</t>
  </si>
  <si>
    <t>YKSITYINEN RAHA</t>
  </si>
  <si>
    <t>Kokonaiskustannukset</t>
  </si>
  <si>
    <t xml:space="preserve">Rahoitussuunnitelma </t>
  </si>
  <si>
    <t>kpl</t>
  </si>
  <si>
    <t>Rahoittaja määrittelee tukiprosentin</t>
  </si>
  <si>
    <t xml:space="preserve">Tulisijat </t>
  </si>
  <si>
    <t>kg</t>
  </si>
  <si>
    <t>h</t>
  </si>
  <si>
    <t>pv</t>
  </si>
  <si>
    <t>l</t>
  </si>
  <si>
    <t>jm</t>
  </si>
  <si>
    <r>
      <t>m</t>
    </r>
    <r>
      <rPr>
        <vertAlign val="superscript"/>
        <sz val="11"/>
        <color theme="0"/>
        <rFont val="Arial"/>
        <family val="2"/>
      </rPr>
      <t>2</t>
    </r>
  </si>
  <si>
    <r>
      <t>m</t>
    </r>
    <r>
      <rPr>
        <vertAlign val="superscript"/>
        <sz val="11"/>
        <color theme="0"/>
        <rFont val="Arial"/>
        <family val="2"/>
      </rPr>
      <t>3</t>
    </r>
  </si>
  <si>
    <t>Työmaan vastaava työnjohtaja</t>
  </si>
  <si>
    <t>Materiaalit ja ostopalvelut</t>
  </si>
  <si>
    <t xml:space="preserve"> Hinnat sisältävät ALV:n</t>
  </si>
  <si>
    <t xml:space="preserve"> Hinnat ilman ALV:a</t>
  </si>
  <si>
    <t>Syntyneitä kustannuksia</t>
  </si>
  <si>
    <t>Rakennusselostus</t>
  </si>
  <si>
    <t>Perustukset ja perusmuurit</t>
  </si>
  <si>
    <t>Viheralueiden rakentaminen</t>
  </si>
  <si>
    <t>Pilarit</t>
  </si>
  <si>
    <t>Työmaatoimisto ja sosiaalitilat</t>
  </si>
  <si>
    <t>Maa-aineksen kuljetus</t>
  </si>
  <si>
    <t>Täyttömateriaalin kuljetus</t>
  </si>
  <si>
    <t>Sääsuojaukset</t>
  </si>
  <si>
    <t>Telineet</t>
  </si>
  <si>
    <t>Kaiteet</t>
  </si>
  <si>
    <t>Rakennuksen käytötarkoitus</t>
  </si>
  <si>
    <t>Rakennuksen päämitat</t>
  </si>
  <si>
    <t>Kerrosala</t>
  </si>
  <si>
    <t>Runkorakenteet ja elementit</t>
  </si>
  <si>
    <t>Rakennuksen toimitus kokonaisena</t>
  </si>
  <si>
    <t>Yksikkö  (m2, jm, m3…)</t>
  </si>
  <si>
    <t>Arvio vastikkeettoman työn laadusta ja määrästä</t>
  </si>
  <si>
    <t>Talo 2000 nimikkeistö</t>
  </si>
  <si>
    <t>Tuntityö        € / h</t>
  </si>
  <si>
    <t>Haettava tuki/avustus</t>
  </si>
  <si>
    <t>Muu julkinen tuki</t>
  </si>
  <si>
    <t>Yksityinen rahoitus (rahallinen osuus)</t>
  </si>
  <si>
    <t>Rahoitus yhteensä</t>
  </si>
  <si>
    <t xml:space="preserve">Yksityinen rahoitus yhteensä </t>
  </si>
  <si>
    <t>Kokonaisrahoitus</t>
  </si>
  <si>
    <t>Yksityinen rahoitus (vastikketon työ)</t>
  </si>
  <si>
    <t xml:space="preserve">MYÖNNETTÄVÄ TUKI </t>
  </si>
  <si>
    <t xml:space="preserve">MUU JULKINEN TUKI </t>
  </si>
  <si>
    <t xml:space="preserve">Selite </t>
  </si>
  <si>
    <t>Kirjaa tähän mitä työtä talkoilla on tarkoitus tehdä</t>
  </si>
  <si>
    <t>Talo 2000 -nimikkeistö</t>
  </si>
  <si>
    <t>erä</t>
  </si>
  <si>
    <t>RAKENNUSHANKKEEN YLEISTIEDOT</t>
  </si>
  <si>
    <t>RAKENNUSOSAT</t>
  </si>
  <si>
    <t>Tontin maankaivutyöt</t>
  </si>
  <si>
    <t>Tontin raivaus</t>
  </si>
  <si>
    <t>Aidat</t>
  </si>
  <si>
    <t>Piha-alueen valaisimet</t>
  </si>
  <si>
    <t>Postilaatikot</t>
  </si>
  <si>
    <t>Paikoitusalueen rakentaminen</t>
  </si>
  <si>
    <t>Pihavarastot</t>
  </si>
  <si>
    <t>Terassit</t>
  </si>
  <si>
    <t>Muurit</t>
  </si>
  <si>
    <t>TALO-OSAT</t>
  </si>
  <si>
    <t>Perusmuurit</t>
  </si>
  <si>
    <t>Palkit</t>
  </si>
  <si>
    <t>Perustusten sisäpuoliset täytöt</t>
  </si>
  <si>
    <t>Anturat (muotit, raudoitus ja valu)</t>
  </si>
  <si>
    <t>Alapohjarakenne lämmöneristyksineen</t>
  </si>
  <si>
    <t>Välipohjarakenne lämmön/ääneneristyksineen</t>
  </si>
  <si>
    <t>Yläpohjarakenne lämmön/ääneneristyksineen</t>
  </si>
  <si>
    <t>Julkisivut</t>
  </si>
  <si>
    <t>Julkisivuvarusteet (talotikkaat, markiisit, säleiköt)</t>
  </si>
  <si>
    <t>Elementtirakenteet</t>
  </si>
  <si>
    <t>Vesikatot</t>
  </si>
  <si>
    <t xml:space="preserve">Vesikattorakenteet </t>
  </si>
  <si>
    <t>Räystäsrakenteet</t>
  </si>
  <si>
    <t>Vesikatteet (ruoteet, aluskate, kate)</t>
  </si>
  <si>
    <t>Kattoikkunat ja luukut</t>
  </si>
  <si>
    <t>TILAOSAT</t>
  </si>
  <si>
    <t>Väliseinät</t>
  </si>
  <si>
    <t>Väliovet</t>
  </si>
  <si>
    <t>Eritysovet</t>
  </si>
  <si>
    <t>TILAPINNAT</t>
  </si>
  <si>
    <t>Piha-alueet</t>
  </si>
  <si>
    <t>Lattian pintakäsittelyt</t>
  </si>
  <si>
    <t xml:space="preserve">Lattiapäällysteet </t>
  </si>
  <si>
    <t>Sisäkattorakenteet</t>
  </si>
  <si>
    <t>Seinien pintarakenteet</t>
  </si>
  <si>
    <t>TILAVARUSTEET</t>
  </si>
  <si>
    <t>Kiintokalusteet</t>
  </si>
  <si>
    <t>Varusteet (naulakot, verholaudat/kiskot)</t>
  </si>
  <si>
    <t>Liedet</t>
  </si>
  <si>
    <t>Pakastimet</t>
  </si>
  <si>
    <t>Jääkaapit</t>
  </si>
  <si>
    <t>Kiukaat</t>
  </si>
  <si>
    <t>Opasteet</t>
  </si>
  <si>
    <t>MUUT TILAOSAT</t>
  </si>
  <si>
    <t>Kylmähuone elementit</t>
  </si>
  <si>
    <t>Savuhormit</t>
  </si>
  <si>
    <t>Hormielementit</t>
  </si>
  <si>
    <t>TEKNIIKKAOSAT</t>
  </si>
  <si>
    <t>Ulkoseinä 1 (runko, eristykset, tuulensuoja, verhous)</t>
  </si>
  <si>
    <t>Ulkoseinä 2 (runko, eristykset, tuulensuoja, verhous)</t>
  </si>
  <si>
    <t>Ulkoseinä 3 (runko, eristykset, tuulensuoja, verhous)</t>
  </si>
  <si>
    <t>Ulkoseinä 4 (runko, eristykset, tuulensuoja, verhous)</t>
  </si>
  <si>
    <t>Viemäröinti</t>
  </si>
  <si>
    <t>Vesikalusteet (hanat, suihkut)</t>
  </si>
  <si>
    <t>Ilmanvaihtokone</t>
  </si>
  <si>
    <t>Venttiilit</t>
  </si>
  <si>
    <t>Putkiurakka</t>
  </si>
  <si>
    <t>Ilmanvaihtourakka</t>
  </si>
  <si>
    <t>Kaapelit</t>
  </si>
  <si>
    <t>Valaisimet</t>
  </si>
  <si>
    <t>Sähköurakka</t>
  </si>
  <si>
    <t>Automaatiojärjestelmät</t>
  </si>
  <si>
    <t>Portaat ja kaiteet</t>
  </si>
  <si>
    <t>TYÖMAAN KÄYTTÖKUSTANNUKSET</t>
  </si>
  <si>
    <t>Ilmalämpöpumppu</t>
  </si>
  <si>
    <t>Vesi-ilmalämpöpumppu</t>
  </si>
  <si>
    <t>Aurinkopaneelit</t>
  </si>
  <si>
    <t>Arkkitehtisuunnittelu</t>
  </si>
  <si>
    <t>Rakennesuunnittelu</t>
  </si>
  <si>
    <t>LVI-suunnittelu</t>
  </si>
  <si>
    <t>SUUNNITTELU JA MAKSUT</t>
  </si>
  <si>
    <t>Valvontaviranomaisten maksut (esim. rakennuslupa)</t>
  </si>
  <si>
    <t>Sisäportaat</t>
  </si>
  <si>
    <t>Sisäkattojen pintakäsittelyt</t>
  </si>
  <si>
    <t>Seinäpinnoitteet ja pintakäsittelyt</t>
  </si>
  <si>
    <t>Uunit</t>
  </si>
  <si>
    <t>Lämpö-, vesi-, ilmanvaihto- ja sähköosat</t>
  </si>
  <si>
    <t>Energiakaivo ja siirtoputket</t>
  </si>
  <si>
    <t>Työnaikainen sähkö ja vesi</t>
  </si>
  <si>
    <t>RAKENNUSSELOSTUS</t>
  </si>
  <si>
    <t>Hakijan nimi</t>
  </si>
  <si>
    <t>Y-tunnus / yhdistyksen rekisterinumero</t>
  </si>
  <si>
    <t>Hankkeen numero</t>
  </si>
  <si>
    <t>Urakka-hinta €</t>
  </si>
  <si>
    <t>Tuntityönä tehdyt tunnit h</t>
  </si>
  <si>
    <t>Materiaali Yhteensä €</t>
  </si>
  <si>
    <t>Työ ja materiaali yhteensä  €</t>
  </si>
  <si>
    <t>Talkootarjoilu kustannukset</t>
  </si>
  <si>
    <t>RAKENTAMISEN INVESTOINTIHANKE</t>
  </si>
  <si>
    <t xml:space="preserve">Rakentamisen investointihankkeen  yleistiedot </t>
  </si>
  <si>
    <t>KUSTANNUSARVIO</t>
  </si>
  <si>
    <t>VASTIKKEETTOMAN TYÖN MÄÄRÄ JA LAATU</t>
  </si>
  <si>
    <t>Hankkeen nimi</t>
  </si>
  <si>
    <t>Investointihankkeen nimi</t>
  </si>
  <si>
    <t>Kustannusarvion laatija</t>
  </si>
  <si>
    <t>Lähiosoite</t>
  </si>
  <si>
    <t>Postinumero ja -toimipaikka</t>
  </si>
  <si>
    <t>Päiväys</t>
  </si>
  <si>
    <t>Ajan-kohta (kk/vv)</t>
  </si>
  <si>
    <t>Julkinen tuki yhteensä</t>
  </si>
  <si>
    <t>Hankkeen tulot (lisätään)</t>
  </si>
  <si>
    <t>Rakennuspaikan osoite</t>
  </si>
  <si>
    <t>Ammatti / koulutus</t>
  </si>
  <si>
    <t>Kustannusarvio | Rahoitussuunnitelma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</si>
  <si>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</si>
  <si>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 xml:space="preserve">Investointihankkeen nimi: </t>
  </si>
  <si>
    <t xml:space="preserve">Kustannusarvion laatija: </t>
  </si>
  <si>
    <t xml:space="preserve">Ammatti / koulutus: </t>
  </si>
  <si>
    <t>Lähiosoite:</t>
  </si>
  <si>
    <t>Postinro / -toimipaikka:</t>
  </si>
  <si>
    <t xml:space="preserve">Päiväys: </t>
  </si>
  <si>
    <t>Päiväys:</t>
  </si>
  <si>
    <t xml:space="preserve">Lähiosoite: 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</si>
  <si>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</si>
  <si>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</si>
  <si>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</si>
  <si>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</si>
  <si>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</si>
  <si>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t xml:space="preserve">1.1. Hakijan nimi: </t>
  </si>
  <si>
    <t xml:space="preserve">1.2. Y-tunnus / yhdistyksen rekisterinumero: </t>
  </si>
  <si>
    <t xml:space="preserve">1.3. Hankkeen nimi: </t>
  </si>
  <si>
    <t xml:space="preserve">1.4. Hankkeen numero: </t>
  </si>
  <si>
    <t>Vuokraoikeuden kirjaus</t>
  </si>
  <si>
    <t>Tietoliikennelaitteet, kaapit ja kaapelointi</t>
  </si>
  <si>
    <t>Ulkoseinän eristeet</t>
  </si>
  <si>
    <t>Ulkoseinän tuulensuoja</t>
  </si>
  <si>
    <t>Ulkoseinärunko ja koolaukset</t>
  </si>
  <si>
    <t>Höyryn- / ilmansulku</t>
  </si>
  <si>
    <t xml:space="preserve"> Kustannusarvio | Vastikkeeton työ | Rahoitussuunnitelma | Rakennusselostus</t>
  </si>
  <si>
    <t>Materiaalit €</t>
  </si>
  <si>
    <t xml:space="preserve">Tositteelliset € </t>
  </si>
  <si>
    <t>tuntia</t>
  </si>
  <si>
    <t>euroa</t>
  </si>
  <si>
    <t>m</t>
  </si>
  <si>
    <t>Henkilötyö-tunnit h (talkoo)</t>
  </si>
  <si>
    <t>Kyllä</t>
  </si>
  <si>
    <t>Ei</t>
  </si>
  <si>
    <t xml:space="preserve">Kokonaiskustannukset € </t>
  </si>
  <si>
    <t xml:space="preserve">Vastikkeeton työ € </t>
  </si>
  <si>
    <t xml:space="preserve">Vastikkeeton työ </t>
  </si>
  <si>
    <t>TAULUKON RAKENNE</t>
  </si>
  <si>
    <t>MYÖNNETTÄVÄ TUKI</t>
  </si>
  <si>
    <t>MUU JULKINEN TUKI</t>
  </si>
  <si>
    <t xml:space="preserve"> RAKENTAMISEN INVESTOINTIHANKE</t>
  </si>
  <si>
    <t xml:space="preserve"> Yksityinen raha</t>
  </si>
  <si>
    <t xml:space="preserve"> Josta vastikkeetonta työtä</t>
  </si>
  <si>
    <t xml:space="preserve"> Omaa rahaa</t>
  </si>
  <si>
    <t xml:space="preserve">  Josta vastikkeetonta työtä</t>
  </si>
  <si>
    <t xml:space="preserve">  Omaa rahaa</t>
  </si>
  <si>
    <t>Rahoitussuunnitelma</t>
  </si>
  <si>
    <r>
      <rPr>
        <b/>
        <sz val="20"/>
        <color theme="0"/>
        <rFont val="Calibri"/>
        <family val="2"/>
        <scheme val="minor"/>
      </rPr>
      <t>OHJE Excel</t>
    </r>
    <r>
      <rPr>
        <sz val="20"/>
        <color theme="0"/>
        <rFont val="Calibri"/>
        <family val="2"/>
        <scheme val="minor"/>
      </rPr>
      <t xml:space="preserve"> työkirjan ominaisuuksiin</t>
    </r>
  </si>
  <si>
    <r>
      <rPr>
        <b/>
        <sz val="20"/>
        <color theme="0"/>
        <rFont val="Calibri"/>
        <family val="2"/>
        <scheme val="minor"/>
      </rPr>
      <t>OHJE</t>
    </r>
    <r>
      <rPr>
        <sz val="20"/>
        <color theme="0"/>
        <rFont val="Calibri"/>
        <family val="2"/>
        <scheme val="minor"/>
      </rPr>
      <t xml:space="preserve"> taulukon täyttämisestä</t>
    </r>
  </si>
  <si>
    <t>Koontilomakkeet</t>
  </si>
  <si>
    <r>
      <t>Voit pienentää tai suurentaa taulukkoa</t>
    </r>
    <r>
      <rPr>
        <b/>
        <sz val="12"/>
        <color rgb="FFFF0000"/>
        <rFont val="Calibri"/>
        <family val="2"/>
        <scheme val="minor"/>
      </rPr>
      <t xml:space="preserve"> Ctrl + hiiren rullaa pyörittämällä</t>
    </r>
    <r>
      <rPr>
        <b/>
        <sz val="12"/>
        <rFont val="Calibri"/>
        <family val="2"/>
        <scheme val="minor"/>
      </rPr>
      <t xml:space="preserve">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</si>
</sst>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7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49">
    <xf numFmtId="0" fontId="0" fillId="0" borderId="0" xfId="0"/>
    <xf numFmtId="0" fontId="0" fillId="2" borderId="0" xfId="0" applyFill="1"/>
    <xf numFmtId="0" fontId="11" fillId="2" borderId="0" xfId="0" applyFont="1" applyFill="1"/>
    <xf numFmtId="0" fontId="11" fillId="0" borderId="0" xfId="0" applyFont="1"/>
    <xf numFmtId="0" fontId="0" fillId="5" borderId="12" xfId="0" applyFill="1" applyBorder="1"/>
    <xf numFmtId="0" fontId="0" fillId="5" borderId="9" xfId="0" applyFill="1" applyBorder="1"/>
    <xf numFmtId="0" fontId="11" fillId="0" borderId="0" xfId="0" applyFont="1" applyAlignment="1">
      <alignment vertical="center" wrapText="1"/>
    </xf>
    <xf numFmtId="0" fontId="8" fillId="0" borderId="0" xfId="0" applyFont="1"/>
    <xf numFmtId="0" fontId="8" fillId="2" borderId="0" xfId="0" applyFont="1" applyFill="1"/>
    <xf numFmtId="0" fontId="21" fillId="0" borderId="0" xfId="2" applyFont="1" applyBorder="1" applyAlignment="1"/>
    <xf numFmtId="0" fontId="20" fillId="0" borderId="0" xfId="2" applyBorder="1" applyAlignment="1"/>
    <xf numFmtId="0" fontId="15" fillId="0" borderId="0" xfId="0" applyFont="1" applyAlignment="1">
      <alignment horizontal="left" vertical="center"/>
    </xf>
    <xf numFmtId="0" fontId="0" fillId="0" borderId="22" xfId="0" applyBorder="1"/>
    <xf numFmtId="0" fontId="0" fillId="0" borderId="9" xfId="0" applyBorder="1"/>
    <xf numFmtId="0" fontId="0" fillId="0" borderId="8" xfId="0" applyBorder="1"/>
    <xf numFmtId="0" fontId="0" fillId="5" borderId="8" xfId="0" applyFill="1" applyBorder="1"/>
    <xf numFmtId="0" fontId="0" fillId="5" borderId="10" xfId="0" applyFill="1" applyBorder="1"/>
    <xf numFmtId="0" fontId="0" fillId="5" borderId="11" xfId="0" applyFill="1" applyBorder="1"/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0" fillId="5" borderId="0" xfId="0" applyFill="1"/>
    <xf numFmtId="0" fontId="4" fillId="5" borderId="0" xfId="0" applyFont="1" applyFill="1"/>
    <xf numFmtId="0" fontId="4" fillId="0" borderId="0" xfId="0" applyFont="1"/>
    <xf numFmtId="0" fontId="4" fillId="5" borderId="0" xfId="0" applyFont="1" applyFill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5" borderId="0" xfId="0" applyFont="1" applyFill="1" applyAlignment="1">
      <alignment horizontal="left" vertical="center" wrapText="1"/>
    </xf>
    <xf numFmtId="0" fontId="12" fillId="10" borderId="1" xfId="0" applyFont="1" applyFill="1" applyBorder="1" applyAlignment="1">
      <alignment vertical="center"/>
    </xf>
    <xf numFmtId="0" fontId="14" fillId="10" borderId="2" xfId="0" applyFont="1" applyFill="1" applyBorder="1" applyAlignment="1">
      <alignment horizontal="left" wrapText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0" fillId="5" borderId="6" xfId="0" applyFill="1" applyBorder="1"/>
    <xf numFmtId="0" fontId="8" fillId="5" borderId="8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2" xfId="0" applyFill="1" applyBorder="1"/>
    <xf numFmtId="0" fontId="8" fillId="5" borderId="0" xfId="0" applyFont="1" applyFill="1"/>
    <xf numFmtId="0" fontId="12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1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2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8" fillId="5" borderId="9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10" fillId="2" borderId="0" xfId="0" applyFont="1" applyFill="1"/>
    <xf numFmtId="2" fontId="0" fillId="2" borderId="0" xfId="0" applyNumberFormat="1" applyFill="1"/>
    <xf numFmtId="2" fontId="0" fillId="0" borderId="0" xfId="0" applyNumberFormat="1"/>
    <xf numFmtId="2" fontId="4" fillId="8" borderId="14" xfId="0" applyNumberFormat="1" applyFont="1" applyFill="1" applyBorder="1"/>
    <xf numFmtId="0" fontId="9" fillId="0" borderId="0" xfId="0" applyFont="1" applyAlignment="1">
      <alignment wrapText="1"/>
    </xf>
    <xf numFmtId="164" fontId="9" fillId="2" borderId="0" xfId="0" applyNumberFormat="1" applyFont="1" applyFill="1"/>
    <xf numFmtId="2" fontId="4" fillId="3" borderId="6" xfId="0" applyNumberFormat="1" applyFont="1" applyFill="1" applyBorder="1"/>
    <xf numFmtId="2" fontId="4" fillId="6" borderId="6" xfId="0" applyNumberFormat="1" applyFont="1" applyFill="1" applyBorder="1"/>
    <xf numFmtId="0" fontId="7" fillId="2" borderId="0" xfId="0" applyFont="1" applyFill="1" applyAlignment="1">
      <alignment wrapText="1"/>
    </xf>
    <xf numFmtId="2" fontId="4" fillId="8" borderId="6" xfId="0" applyNumberFormat="1" applyFont="1" applyFill="1" applyBorder="1"/>
    <xf numFmtId="0" fontId="10" fillId="0" borderId="0" xfId="0" applyFont="1" applyAlignment="1">
      <alignment wrapText="1"/>
    </xf>
    <xf numFmtId="2" fontId="4" fillId="2" borderId="6" xfId="0" applyNumberFormat="1" applyFont="1" applyFill="1" applyBorder="1"/>
    <xf numFmtId="2" fontId="9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0" fillId="0" borderId="0" xfId="0" applyFont="1"/>
    <xf numFmtId="0" fontId="23" fillId="11" borderId="23" xfId="0" applyFont="1" applyFill="1" applyBorder="1" applyAlignment="1">
      <alignment horizontal="left" vertical="center"/>
    </xf>
    <xf numFmtId="49" fontId="0" fillId="10" borderId="6" xfId="0" applyNumberFormat="1" applyFill="1" applyBorder="1" applyAlignment="1">
      <alignment horizontal="center" vertical="center" wrapText="1"/>
    </xf>
    <xf numFmtId="49" fontId="0" fillId="10" borderId="6" xfId="0" applyNumberFormat="1" applyFill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24" fillId="10" borderId="1" xfId="0" applyFont="1" applyFill="1" applyBorder="1" applyAlignment="1">
      <alignment vertical="center"/>
    </xf>
    <xf numFmtId="0" fontId="24" fillId="10" borderId="6" xfId="0" applyFont="1" applyFill="1" applyBorder="1" applyAlignment="1">
      <alignment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top"/>
    </xf>
    <xf numFmtId="0" fontId="2" fillId="9" borderId="10" xfId="0" applyFont="1" applyFill="1" applyBorder="1" applyAlignment="1">
      <alignment vertical="center"/>
    </xf>
    <xf numFmtId="0" fontId="3" fillId="9" borderId="10" xfId="0" applyFont="1" applyFill="1" applyBorder="1" applyAlignment="1">
      <alignment vertical="center"/>
    </xf>
    <xf numFmtId="0" fontId="3" fillId="9" borderId="11" xfId="0" applyFont="1" applyFill="1" applyBorder="1" applyAlignment="1">
      <alignment vertical="center"/>
    </xf>
    <xf numFmtId="0" fontId="14" fillId="2" borderId="24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vertical="center"/>
    </xf>
    <xf numFmtId="0" fontId="0" fillId="0" borderId="24" xfId="0" applyBorder="1" applyAlignment="1">
      <alignment wrapText="1"/>
    </xf>
    <xf numFmtId="0" fontId="15" fillId="0" borderId="0" xfId="0" applyFont="1" applyAlignment="1">
      <alignment vertical="center"/>
    </xf>
    <xf numFmtId="0" fontId="29" fillId="0" borderId="0" xfId="0" applyFont="1"/>
    <xf numFmtId="0" fontId="2" fillId="0" borderId="0" xfId="0" applyFont="1"/>
    <xf numFmtId="0" fontId="0" fillId="0" borderId="14" xfId="0" applyBorder="1"/>
    <xf numFmtId="0" fontId="30" fillId="0" borderId="0" xfId="0" applyFont="1"/>
    <xf numFmtId="0" fontId="11" fillId="0" borderId="0" xfId="0" applyFont="1" applyAlignment="1">
      <alignment horizontal="left" vertical="center" wrapText="1"/>
    </xf>
    <xf numFmtId="0" fontId="2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28" fillId="11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10" xfId="0" applyFill="1" applyBorder="1"/>
    <xf numFmtId="0" fontId="11" fillId="0" borderId="10" xfId="0" applyFont="1" applyBorder="1"/>
    <xf numFmtId="0" fontId="11" fillId="0" borderId="10" xfId="0" applyFont="1" applyBorder="1" applyAlignment="1">
      <alignment vertical="center" wrapText="1"/>
    </xf>
    <xf numFmtId="0" fontId="34" fillId="0" borderId="0" xfId="0" applyFont="1"/>
    <xf numFmtId="0" fontId="8" fillId="0" borderId="0" xfId="0" applyFont="1" applyAlignment="1">
      <alignment vertical="center"/>
    </xf>
    <xf numFmtId="0" fontId="0" fillId="10" borderId="0" xfId="0" applyFill="1"/>
    <xf numFmtId="0" fontId="0" fillId="5" borderId="24" xfId="0" applyFill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2" fontId="4" fillId="6" borderId="5" xfId="0" applyNumberFormat="1" applyFont="1" applyFill="1" applyBorder="1"/>
    <xf numFmtId="0" fontId="4" fillId="5" borderId="0" xfId="0" applyFont="1" applyFill="1" applyAlignment="1">
      <alignment horizontal="right" vertical="center"/>
    </xf>
    <xf numFmtId="0" fontId="9" fillId="0" borderId="0" xfId="0" applyFont="1"/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1" fontId="4" fillId="2" borderId="5" xfId="0" applyNumberFormat="1" applyFont="1" applyFill="1" applyBorder="1"/>
    <xf numFmtId="2" fontId="4" fillId="2" borderId="0" xfId="0" applyNumberFormat="1" applyFont="1" applyFill="1"/>
    <xf numFmtId="0" fontId="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0" fillId="5" borderId="25" xfId="0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19" fillId="0" borderId="0" xfId="0" applyFont="1"/>
    <xf numFmtId="0" fontId="12" fillId="10" borderId="12" xfId="0" applyFont="1" applyFill="1" applyBorder="1" applyAlignment="1">
      <alignment vertical="center"/>
    </xf>
    <xf numFmtId="0" fontId="0" fillId="5" borderId="2" xfId="0" applyFill="1" applyBorder="1" applyAlignment="1">
      <alignment horizontal="center"/>
    </xf>
    <xf numFmtId="0" fontId="8" fillId="0" borderId="0" xfId="0" applyFont="1" applyAlignment="1">
      <alignment horizontal="right"/>
    </xf>
    <xf numFmtId="2" fontId="4" fillId="3" borderId="3" xfId="0" applyNumberFormat="1" applyFont="1" applyFill="1" applyBorder="1"/>
    <xf numFmtId="0" fontId="4" fillId="2" borderId="3" xfId="0" applyFont="1" applyFill="1" applyBorder="1"/>
    <xf numFmtId="0" fontId="8" fillId="0" borderId="0" xfId="0" applyFont="1" applyAlignment="1">
      <alignment horizontal="center"/>
    </xf>
    <xf numFmtId="0" fontId="4" fillId="0" borderId="5" xfId="0" applyFont="1" applyBorder="1"/>
    <xf numFmtId="0" fontId="0" fillId="0" borderId="13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6" xfId="0" applyNumberFormat="1" applyFont="1" applyBorder="1" applyAlignment="1" applyProtection="1">
      <alignment vertical="top" wrapText="1"/>
      <protection locked="0"/>
    </xf>
    <xf numFmtId="0" fontId="4" fillId="10" borderId="2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/>
    </xf>
    <xf numFmtId="0" fontId="4" fillId="10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10" borderId="17" xfId="0" applyFont="1" applyFill="1" applyBorder="1" applyAlignment="1">
      <alignment horizontal="center" vertical="top" wrapText="1"/>
    </xf>
    <xf numFmtId="0" fontId="4" fillId="10" borderId="18" xfId="0" applyFont="1" applyFill="1" applyBorder="1" applyAlignment="1">
      <alignment horizontal="center" vertical="top" wrapText="1"/>
    </xf>
    <xf numFmtId="0" fontId="0" fillId="5" borderId="11" xfId="0" applyFill="1" applyBorder="1" applyAlignment="1">
      <alignment vertical="top"/>
    </xf>
    <xf numFmtId="0" fontId="0" fillId="5" borderId="17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0" fillId="5" borderId="18" xfId="0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19" fillId="2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36" fillId="0" borderId="0" xfId="0" applyFont="1"/>
    <xf numFmtId="0" fontId="36" fillId="2" borderId="0" xfId="0" applyFont="1" applyFill="1"/>
    <xf numFmtId="0" fontId="8" fillId="0" borderId="0" xfId="0" applyFont="1" applyAlignment="1">
      <alignment horizontal="left" vertical="center"/>
    </xf>
    <xf numFmtId="2" fontId="0" fillId="0" borderId="6" xfId="0" applyNumberForma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>
      <alignment horizontal="left" vertical="center"/>
    </xf>
    <xf numFmtId="0" fontId="0" fillId="0" borderId="27" xfId="0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left" vertical="center"/>
    </xf>
    <xf numFmtId="14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7" borderId="26" xfId="0" applyFill="1" applyBorder="1" applyAlignment="1">
      <alignment vertical="top"/>
    </xf>
    <xf numFmtId="0" fontId="0" fillId="0" borderId="27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7" borderId="27" xfId="0" applyFill="1" applyBorder="1" applyAlignment="1">
      <alignment vertical="top"/>
    </xf>
    <xf numFmtId="0" fontId="0" fillId="0" borderId="28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7" borderId="28" xfId="0" applyFill="1" applyBorder="1" applyAlignment="1">
      <alignment vertical="top"/>
    </xf>
    <xf numFmtId="0" fontId="0" fillId="0" borderId="27" xfId="0" applyBorder="1"/>
    <xf numFmtId="0" fontId="16" fillId="2" borderId="27" xfId="0" applyFont="1" applyFill="1" applyBorder="1" applyAlignment="1" applyProtection="1">
      <alignment wrapText="1"/>
      <protection locked="0"/>
    </xf>
    <xf numFmtId="0" fontId="16" fillId="2" borderId="28" xfId="0" applyFont="1" applyFill="1" applyBorder="1" applyAlignment="1" applyProtection="1">
      <alignment wrapText="1"/>
      <protection locked="0"/>
    </xf>
    <xf numFmtId="0" fontId="0" fillId="0" borderId="29" xfId="0" applyBorder="1" applyAlignment="1" applyProtection="1">
      <alignment vertical="top"/>
      <protection locked="0"/>
    </xf>
    <xf numFmtId="49" fontId="8" fillId="0" borderId="26" xfId="0" applyNumberFormat="1" applyFont="1" applyBorder="1" applyAlignment="1" applyProtection="1">
      <alignment horizontal="center" vertical="top"/>
      <protection locked="0"/>
    </xf>
    <xf numFmtId="0" fontId="0" fillId="2" borderId="30" xfId="0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/>
      <protection locked="0"/>
    </xf>
    <xf numFmtId="49" fontId="8" fillId="0" borderId="27" xfId="0" applyNumberFormat="1" applyFont="1" applyBorder="1" applyAlignment="1" applyProtection="1">
      <alignment horizontal="center" vertical="top"/>
      <protection locked="0"/>
    </xf>
    <xf numFmtId="0" fontId="0" fillId="2" borderId="32" xfId="0" applyFill="1" applyBorder="1" applyAlignment="1" applyProtection="1">
      <alignment vertical="top" wrapText="1"/>
      <protection locked="0"/>
    </xf>
    <xf numFmtId="0" fontId="0" fillId="0" borderId="33" xfId="0" applyBorder="1" applyAlignment="1" applyProtection="1">
      <alignment vertical="top"/>
      <protection locked="0"/>
    </xf>
    <xf numFmtId="49" fontId="8" fillId="0" borderId="28" xfId="0" applyNumberFormat="1" applyFont="1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vertical="top" wrapText="1"/>
      <protection locked="0"/>
    </xf>
    <xf numFmtId="49" fontId="0" fillId="0" borderId="26" xfId="0" applyNumberFormat="1" applyBorder="1" applyAlignment="1" applyProtection="1">
      <alignment vertical="top"/>
      <protection locked="0"/>
    </xf>
    <xf numFmtId="49" fontId="0" fillId="0" borderId="27" xfId="0" applyNumberFormat="1" applyBorder="1" applyAlignment="1" applyProtection="1">
      <alignment vertical="top"/>
      <protection locked="0"/>
    </xf>
    <xf numFmtId="49" fontId="0" fillId="0" borderId="28" xfId="0" applyNumberFormat="1" applyBorder="1" applyAlignment="1" applyProtection="1">
      <alignment vertical="top"/>
      <protection locked="0"/>
    </xf>
    <xf numFmtId="0" fontId="0" fillId="7" borderId="35" xfId="0" applyFill="1" applyBorder="1" applyAlignment="1">
      <alignment vertical="top"/>
    </xf>
    <xf numFmtId="0" fontId="0" fillId="0" borderId="36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49" fontId="0" fillId="0" borderId="37" xfId="0" applyNumberFormat="1" applyBorder="1" applyAlignment="1" applyProtection="1">
      <alignment vertical="top"/>
      <protection locked="0"/>
    </xf>
    <xf numFmtId="0" fontId="0" fillId="2" borderId="38" xfId="0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27" xfId="0" applyFont="1" applyBorder="1" applyAlignment="1" applyProtection="1">
      <alignment horizontal="left" vertical="top"/>
      <protection locked="0"/>
    </xf>
    <xf numFmtId="0" fontId="0" fillId="0" borderId="27" xfId="0" applyBorder="1" applyAlignment="1">
      <alignment horizontal="center" vertical="top" wrapText="1"/>
    </xf>
    <xf numFmtId="2" fontId="0" fillId="7" borderId="27" xfId="0" applyNumberFormat="1" applyFill="1" applyBorder="1" applyAlignment="1">
      <alignment vertical="top" wrapText="1"/>
    </xf>
    <xf numFmtId="0" fontId="0" fillId="0" borderId="2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6" xfId="0" applyBorder="1"/>
    <xf numFmtId="49" fontId="8" fillId="0" borderId="26" xfId="0" applyNumberFormat="1" applyFont="1" applyBorder="1" applyAlignment="1">
      <alignment horizontal="center"/>
    </xf>
    <xf numFmtId="0" fontId="4" fillId="2" borderId="26" xfId="0" applyFont="1" applyFill="1" applyBorder="1" applyAlignment="1" applyProtection="1">
      <alignment horizontal="left" vertical="top" wrapText="1"/>
      <protection locked="0"/>
    </xf>
    <xf numFmtId="0" fontId="0" fillId="7" borderId="27" xfId="0" applyFill="1" applyBorder="1"/>
    <xf numFmtId="49" fontId="8" fillId="0" borderId="27" xfId="0" applyNumberFormat="1" applyFont="1" applyBorder="1" applyAlignment="1">
      <alignment horizontal="center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0" fillId="0" borderId="28" xfId="0" applyBorder="1"/>
    <xf numFmtId="49" fontId="8" fillId="0" borderId="28" xfId="0" applyNumberFormat="1" applyFont="1" applyBorder="1" applyAlignment="1">
      <alignment horizontal="center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0" fillId="0" borderId="35" xfId="0" applyBorder="1"/>
    <xf numFmtId="0" fontId="0" fillId="7" borderId="35" xfId="0" applyFill="1" applyBorder="1"/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vertical="top"/>
    </xf>
    <xf numFmtId="0" fontId="0" fillId="0" borderId="1" xfId="0" applyBorder="1"/>
    <xf numFmtId="9" fontId="0" fillId="2" borderId="6" xfId="1" applyFont="1" applyFill="1" applyBorder="1" applyProtection="1">
      <protection locked="0"/>
    </xf>
    <xf numFmtId="0" fontId="37" fillId="2" borderId="0" xfId="0" applyFont="1" applyFill="1"/>
    <xf numFmtId="0" fontId="38" fillId="2" borderId="0" xfId="0" applyFont="1" applyFill="1" applyAlignment="1">
      <alignment wrapText="1"/>
    </xf>
    <xf numFmtId="0" fontId="38" fillId="2" borderId="0" xfId="0" applyFont="1" applyFill="1"/>
    <xf numFmtId="9" fontId="19" fillId="2" borderId="0" xfId="1" applyFont="1" applyFill="1" applyBorder="1" applyProtection="1"/>
    <xf numFmtId="0" fontId="0" fillId="2" borderId="0" xfId="0" applyFill="1" applyAlignment="1">
      <alignment horizontal="left"/>
    </xf>
    <xf numFmtId="0" fontId="0" fillId="0" borderId="6" xfId="0" applyBorder="1" applyAlignment="1">
      <alignment horizontal="left"/>
    </xf>
    <xf numFmtId="0" fontId="4" fillId="2" borderId="1" xfId="0" applyFont="1" applyFill="1" applyBorder="1"/>
    <xf numFmtId="2" fontId="4" fillId="0" borderId="3" xfId="0" applyNumberFormat="1" applyFont="1" applyBorder="1"/>
    <xf numFmtId="2" fontId="4" fillId="0" borderId="6" xfId="0" applyNumberFormat="1" applyFont="1" applyBorder="1"/>
    <xf numFmtId="0" fontId="4" fillId="0" borderId="2" xfId="0" applyFont="1" applyBorder="1"/>
    <xf numFmtId="0" fontId="0" fillId="6" borderId="5" xfId="0" applyFill="1" applyBorder="1"/>
    <xf numFmtId="2" fontId="22" fillId="2" borderId="6" xfId="0" applyNumberFormat="1" applyFont="1" applyFill="1" applyBorder="1"/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0" fontId="0" fillId="0" borderId="2" xfId="0" applyBorder="1"/>
    <xf numFmtId="0" fontId="4" fillId="2" borderId="2" xfId="0" applyFont="1" applyFill="1" applyBorder="1"/>
    <xf numFmtId="0" fontId="0" fillId="0" borderId="3" xfId="0" applyBorder="1"/>
    <xf numFmtId="0" fontId="4" fillId="2" borderId="1" xfId="0" applyFont="1" applyFill="1" applyBorder="1" applyAlignment="1">
      <alignment horizontal="left" vertical="center"/>
    </xf>
    <xf numFmtId="2" fontId="4" fillId="6" borderId="6" xfId="0" applyNumberFormat="1" applyFont="1" applyFill="1" applyBorder="1" applyAlignment="1">
      <alignment vertical="center"/>
    </xf>
    <xf numFmtId="9" fontId="0" fillId="2" borderId="6" xfId="1" applyFont="1" applyFill="1" applyBorder="1" applyProtection="1"/>
    <xf numFmtId="0" fontId="2" fillId="2" borderId="10" xfId="0" applyFont="1" applyFill="1" applyBorder="1"/>
    <xf numFmtId="0" fontId="0" fillId="2" borderId="10" xfId="0" applyFill="1" applyBorder="1" applyAlignment="1">
      <alignment wrapText="1"/>
    </xf>
    <xf numFmtId="0" fontId="4" fillId="2" borderId="0" xfId="0" applyFont="1" applyFill="1" applyAlignment="1">
      <alignment horizontal="right"/>
    </xf>
    <xf numFmtId="2" fontId="4" fillId="6" borderId="42" xfId="0" applyNumberFormat="1" applyFont="1" applyFill="1" applyBorder="1"/>
    <xf numFmtId="0" fontId="8" fillId="2" borderId="1" xfId="0" applyFont="1" applyFill="1" applyBorder="1"/>
    <xf numFmtId="0" fontId="0" fillId="0" borderId="3" xfId="0" applyBorder="1" applyAlignment="1">
      <alignment horizontal="right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horizontal="center" vertical="top"/>
      <protection locked="0"/>
    </xf>
    <xf numFmtId="0" fontId="0" fillId="0" borderId="28" xfId="0" applyBorder="1" applyAlignment="1" applyProtection="1">
      <alignment horizontal="center" vertical="top"/>
      <protection locked="0"/>
    </xf>
    <xf numFmtId="49" fontId="0" fillId="5" borderId="6" xfId="0" applyNumberFormat="1" applyFill="1" applyBorder="1" applyAlignment="1">
      <alignment horizontal="left" vertical="center" wrapText="1"/>
    </xf>
    <xf numFmtId="2" fontId="0" fillId="7" borderId="39" xfId="0" applyNumberFormat="1" applyFill="1" applyBorder="1" applyAlignment="1">
      <alignment vertical="top" wrapText="1"/>
    </xf>
    <xf numFmtId="2" fontId="0" fillId="7" borderId="40" xfId="0" applyNumberFormat="1" applyFill="1" applyBorder="1" applyAlignment="1">
      <alignment vertical="top" wrapText="1"/>
    </xf>
    <xf numFmtId="2" fontId="0" fillId="10" borderId="3" xfId="0" applyNumberFormat="1" applyFill="1" applyBorder="1" applyAlignment="1">
      <alignment vertical="top" wrapText="1"/>
    </xf>
    <xf numFmtId="2" fontId="0" fillId="5" borderId="3" xfId="0" applyNumberFormat="1" applyFill="1" applyBorder="1" applyAlignment="1">
      <alignment vertical="top" wrapText="1"/>
    </xf>
    <xf numFmtId="2" fontId="0" fillId="7" borderId="35" xfId="0" applyNumberFormat="1" applyFill="1" applyBorder="1" applyAlignment="1">
      <alignment vertical="top" wrapText="1"/>
    </xf>
    <xf numFmtId="0" fontId="0" fillId="0" borderId="39" xfId="0" applyBorder="1"/>
    <xf numFmtId="0" fontId="0" fillId="7" borderId="39" xfId="0" applyFill="1" applyBorder="1"/>
    <xf numFmtId="0" fontId="0" fillId="7" borderId="40" xfId="0" applyFill="1" applyBorder="1"/>
    <xf numFmtId="0" fontId="0" fillId="10" borderId="2" xfId="0" applyFill="1" applyBorder="1"/>
    <xf numFmtId="0" fontId="0" fillId="10" borderId="13" xfId="0" applyFill="1" applyBorder="1"/>
    <xf numFmtId="0" fontId="0" fillId="0" borderId="40" xfId="0" applyBorder="1"/>
    <xf numFmtId="0" fontId="8" fillId="0" borderId="28" xfId="0" applyFont="1" applyBorder="1" applyAlignment="1" applyProtection="1">
      <alignment horizontal="left" vertical="top"/>
      <protection locked="0"/>
    </xf>
    <xf numFmtId="0" fontId="0" fillId="5" borderId="22" xfId="0" applyFill="1" applyBorder="1"/>
    <xf numFmtId="0" fontId="4" fillId="0" borderId="42" xfId="0" applyFont="1" applyBorder="1"/>
    <xf numFmtId="2" fontId="4" fillId="0" borderId="5" xfId="0" applyNumberFormat="1" applyFont="1" applyBorder="1" applyAlignment="1">
      <alignment horizontal="center"/>
    </xf>
    <xf numFmtId="2" fontId="0" fillId="0" borderId="43" xfId="0" applyNumberFormat="1" applyBorder="1" applyAlignment="1">
      <alignment horizontal="center" vertical="center" wrapText="1"/>
    </xf>
    <xf numFmtId="2" fontId="0" fillId="7" borderId="26" xfId="0" applyNumberFormat="1" applyFill="1" applyBorder="1" applyAlignment="1">
      <alignment vertical="top"/>
    </xf>
    <xf numFmtId="2" fontId="0" fillId="7" borderId="27" xfId="0" applyNumberFormat="1" applyFill="1" applyBorder="1" applyAlignment="1">
      <alignment vertical="top"/>
    </xf>
    <xf numFmtId="2" fontId="0" fillId="7" borderId="28" xfId="0" applyNumberFormat="1" applyFill="1" applyBorder="1" applyAlignment="1">
      <alignment vertical="top"/>
    </xf>
    <xf numFmtId="2" fontId="0" fillId="7" borderId="35" xfId="0" applyNumberFormat="1" applyFill="1" applyBorder="1" applyAlignment="1">
      <alignment vertical="top"/>
    </xf>
    <xf numFmtId="2" fontId="4" fillId="2" borderId="6" xfId="0" applyNumberFormat="1" applyFont="1" applyFill="1" applyBorder="1" applyAlignment="1">
      <alignment vertical="center"/>
    </xf>
    <xf numFmtId="2" fontId="4" fillId="12" borderId="6" xfId="0" applyNumberFormat="1" applyFont="1" applyFill="1" applyBorder="1" applyAlignment="1">
      <alignment vertical="center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5" borderId="2" xfId="0" applyFill="1" applyBorder="1" applyAlignment="1">
      <alignment vertical="top"/>
    </xf>
    <xf numFmtId="2" fontId="0" fillId="10" borderId="2" xfId="0" applyNumberFormat="1" applyFill="1" applyBorder="1" applyAlignment="1">
      <alignment vertical="top" wrapText="1"/>
    </xf>
    <xf numFmtId="2" fontId="0" fillId="5" borderId="2" xfId="0" applyNumberFormat="1" applyFill="1" applyBorder="1" applyAlignment="1">
      <alignment vertical="top" wrapText="1"/>
    </xf>
    <xf numFmtId="0" fontId="8" fillId="10" borderId="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49" fontId="8" fillId="5" borderId="2" xfId="0" applyNumberFormat="1" applyFont="1" applyFill="1" applyBorder="1" applyAlignment="1">
      <alignment horizontal="center"/>
    </xf>
    <xf numFmtId="49" fontId="33" fillId="10" borderId="3" xfId="0" applyNumberFormat="1" applyFont="1" applyFill="1" applyBorder="1" applyAlignment="1">
      <alignment horizontal="right" vertical="center" wrapText="1"/>
    </xf>
    <xf numFmtId="0" fontId="0" fillId="10" borderId="2" xfId="0" applyFill="1" applyBorder="1" applyAlignment="1">
      <alignment horizontal="center" vertical="center" wrapText="1"/>
    </xf>
    <xf numFmtId="49" fontId="4" fillId="10" borderId="3" xfId="0" applyNumberFormat="1" applyFont="1" applyFill="1" applyBorder="1" applyAlignment="1">
      <alignment vertical="top" wrapText="1"/>
    </xf>
    <xf numFmtId="2" fontId="0" fillId="10" borderId="2" xfId="0" applyNumberForma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left" wrapText="1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vertical="top" wrapText="1"/>
    </xf>
    <xf numFmtId="0" fontId="16" fillId="2" borderId="27" xfId="0" applyFont="1" applyFill="1" applyBorder="1" applyAlignment="1">
      <alignment wrapText="1"/>
    </xf>
    <xf numFmtId="0" fontId="14" fillId="10" borderId="13" xfId="0" applyFont="1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0" fontId="0" fillId="0" borderId="27" xfId="0" applyBorder="1" applyAlignment="1">
      <alignment wrapText="1"/>
    </xf>
    <xf numFmtId="0" fontId="14" fillId="10" borderId="1" xfId="0" applyFont="1" applyFill="1" applyBorder="1" applyAlignment="1">
      <alignment horizontal="left" wrapText="1"/>
    </xf>
    <xf numFmtId="0" fontId="0" fillId="5" borderId="8" xfId="0" applyFill="1" applyBorder="1" applyAlignment="1">
      <alignment wrapText="1"/>
    </xf>
    <xf numFmtId="0" fontId="0" fillId="2" borderId="40" xfId="0" applyFill="1" applyBorder="1" applyAlignment="1">
      <alignment wrapText="1"/>
    </xf>
    <xf numFmtId="0" fontId="16" fillId="2" borderId="39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0" fillId="2" borderId="0" xfId="0" applyFont="1" applyFill="1" applyAlignment="1">
      <alignment wrapText="1"/>
    </xf>
    <xf numFmtId="0" fontId="4" fillId="5" borderId="0" xfId="0" applyFont="1" applyFill="1" applyAlignment="1">
      <alignment horizontal="right" wrapText="1"/>
    </xf>
    <xf numFmtId="0" fontId="0" fillId="5" borderId="10" xfId="0" applyFill="1" applyBorder="1" applyAlignment="1">
      <alignment wrapText="1"/>
    </xf>
    <xf numFmtId="0" fontId="16" fillId="2" borderId="28" xfId="0" applyFont="1" applyFill="1" applyBorder="1" applyAlignment="1">
      <alignment wrapText="1"/>
    </xf>
    <xf numFmtId="0" fontId="4" fillId="2" borderId="0" xfId="0" applyFont="1" applyFill="1" applyAlignment="1">
      <alignment horizontal="right" wrapText="1"/>
    </xf>
    <xf numFmtId="0" fontId="8" fillId="2" borderId="5" xfId="0" applyFont="1" applyFill="1" applyBorder="1" applyAlignment="1">
      <alignment horizontal="left" vertical="center" wrapText="1"/>
    </xf>
    <xf numFmtId="0" fontId="0" fillId="10" borderId="3" xfId="0" applyFill="1" applyBorder="1" applyAlignment="1">
      <alignment wrapText="1"/>
    </xf>
    <xf numFmtId="0" fontId="0" fillId="10" borderId="3" xfId="0" applyFill="1" applyBorder="1" applyAlignment="1">
      <alignment vertical="top" wrapText="1"/>
    </xf>
    <xf numFmtId="0" fontId="10" fillId="11" borderId="12" xfId="0" applyFont="1" applyFill="1" applyBorder="1" applyAlignment="1">
      <alignment wrapText="1"/>
    </xf>
    <xf numFmtId="0" fontId="4" fillId="5" borderId="0" xfId="0" applyFont="1" applyFill="1" applyAlignment="1">
      <alignment horizontal="right" vertical="center" wrapText="1"/>
    </xf>
    <xf numFmtId="0" fontId="4" fillId="0" borderId="0" xfId="0" applyFont="1" applyAlignment="1">
      <alignment wrapText="1"/>
    </xf>
    <xf numFmtId="0" fontId="14" fillId="5" borderId="0" xfId="0" applyFont="1" applyFill="1" applyAlignment="1">
      <alignment horizontal="right" vertical="center" wrapText="1"/>
    </xf>
    <xf numFmtId="0" fontId="0" fillId="2" borderId="6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6" xfId="0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6" fillId="2" borderId="7" xfId="0" applyFont="1" applyFill="1" applyBorder="1" applyAlignment="1">
      <alignment wrapText="1"/>
    </xf>
    <xf numFmtId="0" fontId="4" fillId="2" borderId="22" xfId="0" applyFont="1" applyFill="1" applyBorder="1" applyAlignment="1">
      <alignment horizontal="right" wrapText="1"/>
    </xf>
    <xf numFmtId="0" fontId="27" fillId="11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6" fillId="2" borderId="27" xfId="0" applyFont="1" applyFill="1" applyBorder="1"/>
    <xf numFmtId="0" fontId="16" fillId="2" borderId="28" xfId="0" applyFont="1" applyFill="1" applyBorder="1"/>
    <xf numFmtId="0" fontId="39" fillId="13" borderId="20" xfId="0" applyFont="1" applyFill="1" applyBorder="1" applyAlignment="1">
      <alignment horizontal="center" vertical="center"/>
    </xf>
    <xf numFmtId="0" fontId="40" fillId="13" borderId="41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2" borderId="44" xfId="0" applyFill="1" applyBorder="1" applyAlignment="1">
      <alignment horizontal="left"/>
    </xf>
    <xf numFmtId="0" fontId="0" fillId="0" borderId="45" xfId="0" applyBorder="1" applyAlignment="1">
      <alignment horizontal="left"/>
    </xf>
    <xf numFmtId="0" fontId="18" fillId="10" borderId="19" xfId="0" applyFont="1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0" fillId="10" borderId="6" xfId="0" applyFill="1" applyBorder="1" applyAlignment="1">
      <alignment horizontal="center" vertical="center"/>
    </xf>
    <xf numFmtId="0" fontId="31" fillId="11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3">
    <cellStyle name="Hyperlinkki" xfId="2" builtinId="8"/>
    <cellStyle name="Normaali" xfId="0" builtinId="0"/>
    <cellStyle name="Prosenttia" xfId="1" builtinId="5"/>
  </cellStyles>
  <dxfs count="24">
    <dxf>
      <fill>
        <patternFill>
          <bgColor theme="0"/>
        </patternFill>
      </fill>
    </dxf>
    <dxf>
      <numFmt numFmtId="165" formatCode="0.00_ ;[Red]\-0.00\ "/>
    </dxf>
    <dxf>
      <font>
        <color theme="0"/>
      </font>
      <numFmt numFmtId="2" formatCode="0.00"/>
    </dxf>
    <dxf>
      <font>
        <color theme="0"/>
      </font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65" formatCode="0.00_ ;[Red]\-0.00\ "/>
    </dxf>
    <dxf>
      <font>
        <color theme="0"/>
      </font>
      <numFmt numFmtId="2" formatCode="0.00"/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F8A4"/>
      <color rgb="FFEFCF92"/>
      <color rgb="FFFFCC00"/>
      <color rgb="FFF4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youtu.be/IjZWhNEgX5M?si=8lccr77kFELxGDi_" TargetMode="External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png"/><Relationship Id="rId1" Type="http://schemas.openxmlformats.org/officeDocument/2006/relationships/image" Target="../media/image16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g"/><Relationship Id="rId2" Type="http://schemas.openxmlformats.org/officeDocument/2006/relationships/image" Target="../media/image19.png"/><Relationship Id="rId1" Type="http://schemas.openxmlformats.org/officeDocument/2006/relationships/image" Target="../media/image17.png"/><Relationship Id="rId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1.png"/><Relationship Id="rId1" Type="http://schemas.openxmlformats.org/officeDocument/2006/relationships/image" Target="../media/image16.jp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210652</xdr:colOff>
      <xdr:row>30</xdr:row>
      <xdr:rowOff>116632</xdr:rowOff>
    </xdr:from>
    <xdr:to>
      <xdr:col>2</xdr:col>
      <xdr:colOff>447092</xdr:colOff>
      <xdr:row>45</xdr:row>
      <xdr:rowOff>65079</xdr:rowOff>
    </xdr:to>
    <xdr:pic>
      <xdr:nvPicPr>
        <xdr:cNvPr id="78" name="Kuva 77">
          <a:extLst>
            <a:ext uri="{FF2B5EF4-FFF2-40B4-BE49-F238E27FC236}">
              <a16:creationId xmlns:a16="http://schemas.microsoft.com/office/drawing/2014/main" id="{E87037BC-F37B-D9B8-6609-F96076B71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65" y="5996862"/>
          <a:ext cx="5086415" cy="271847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152336</xdr:colOff>
      <xdr:row>163</xdr:row>
      <xdr:rowOff>171773</xdr:rowOff>
    </xdr:from>
    <xdr:to>
      <xdr:col>3</xdr:col>
      <xdr:colOff>1914691</xdr:colOff>
      <xdr:row>174</xdr:row>
      <xdr:rowOff>87473</xdr:rowOff>
    </xdr:to>
    <xdr:pic>
      <xdr:nvPicPr>
        <xdr:cNvPr id="74" name="Kuva 73">
          <a:extLst>
            <a:ext uri="{FF2B5EF4-FFF2-40B4-BE49-F238E27FC236}">
              <a16:creationId xmlns:a16="http://schemas.microsoft.com/office/drawing/2014/main" id="{8997EBE4-4BEC-6102-EC87-A202F8439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49" y="30982232"/>
          <a:ext cx="8692279" cy="353468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38877</xdr:colOff>
      <xdr:row>139</xdr:row>
      <xdr:rowOff>217003</xdr:rowOff>
    </xdr:from>
    <xdr:to>
      <xdr:col>3</xdr:col>
      <xdr:colOff>200737</xdr:colOff>
      <xdr:row>156</xdr:row>
      <xdr:rowOff>141139</xdr:rowOff>
    </xdr:to>
    <xdr:pic>
      <xdr:nvPicPr>
        <xdr:cNvPr id="72" name="Kuva 71">
          <a:extLst>
            <a:ext uri="{FF2B5EF4-FFF2-40B4-BE49-F238E27FC236}">
              <a16:creationId xmlns:a16="http://schemas.microsoft.com/office/drawing/2014/main" id="{8DE697C5-7187-4F9F-E58B-348FBB644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790" y="26537105"/>
          <a:ext cx="7091784" cy="31218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87475</xdr:colOff>
      <xdr:row>52</xdr:row>
      <xdr:rowOff>45421</xdr:rowOff>
    </xdr:from>
    <xdr:to>
      <xdr:col>7</xdr:col>
      <xdr:colOff>103548</xdr:colOff>
      <xdr:row>71</xdr:row>
      <xdr:rowOff>87474</xdr:rowOff>
    </xdr:to>
    <xdr:pic>
      <xdr:nvPicPr>
        <xdr:cNvPr id="71" name="Kuva 70">
          <a:extLst>
            <a:ext uri="{FF2B5EF4-FFF2-40B4-BE49-F238E27FC236}">
              <a16:creationId xmlns:a16="http://schemas.microsoft.com/office/drawing/2014/main" id="{5C5B8465-C691-AB19-2AB7-D6E0A936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475" y="9957771"/>
          <a:ext cx="13827323" cy="355360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990307</xdr:colOff>
      <xdr:row>0</xdr:row>
      <xdr:rowOff>187972</xdr:rowOff>
    </xdr:from>
    <xdr:to>
      <xdr:col>5</xdr:col>
      <xdr:colOff>1939926</xdr:colOff>
      <xdr:row>2</xdr:row>
      <xdr:rowOff>25400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D2E09FF6-3ABE-431A-B848-8BD187A9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357" y="187972"/>
          <a:ext cx="949619" cy="351778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218EC21F-EF0C-406C-871A-C31FB8A41140}"/>
            </a:ext>
          </a:extLst>
        </xdr:cNvPr>
        <xdr:cNvSpPr txBox="1"/>
      </xdr:nvSpPr>
      <xdr:spPr>
        <a:xfrm>
          <a:off x="59530" y="515938"/>
          <a:ext cx="3601245" cy="303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48988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F7F4FDC2-7FDA-454E-871B-58961F844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94184" y="754614"/>
          <a:ext cx="381019" cy="377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189248</xdr:colOff>
      <xdr:row>27</xdr:row>
      <xdr:rowOff>125553</xdr:rowOff>
    </xdr:from>
    <xdr:to>
      <xdr:col>2</xdr:col>
      <xdr:colOff>408214</xdr:colOff>
      <xdr:row>30</xdr:row>
      <xdr:rowOff>50410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7DB1175A-D5CF-45C3-B77D-E3EA42F61F33}"/>
            </a:ext>
          </a:extLst>
        </xdr:cNvPr>
        <xdr:cNvSpPr txBox="1"/>
      </xdr:nvSpPr>
      <xdr:spPr>
        <a:xfrm>
          <a:off x="296161" y="5451777"/>
          <a:ext cx="5068941" cy="478863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600" b="1">
              <a:solidFill>
                <a:schemeClr val="bg1"/>
              </a:solidFill>
            </a:rPr>
            <a:t>ALOITA TÄSTÄ!</a:t>
          </a:r>
        </a:p>
      </xdr:txBody>
    </xdr:sp>
    <xdr:clientData/>
  </xdr:twoCellAnchor>
  <xdr:twoCellAnchor>
    <xdr:from>
      <xdr:col>0</xdr:col>
      <xdr:colOff>74083</xdr:colOff>
      <xdr:row>11</xdr:row>
      <xdr:rowOff>53974</xdr:rowOff>
    </xdr:from>
    <xdr:to>
      <xdr:col>3</xdr:col>
      <xdr:colOff>1227818</xdr:colOff>
      <xdr:row>21</xdr:row>
      <xdr:rowOff>155509</xdr:rowOff>
    </xdr:to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B11FF034-7E46-4535-B955-AAB3EC30A184}"/>
            </a:ext>
          </a:extLst>
        </xdr:cNvPr>
        <xdr:cNvSpPr txBox="1"/>
      </xdr:nvSpPr>
      <xdr:spPr>
        <a:xfrm>
          <a:off x="74083" y="2269994"/>
          <a:ext cx="8190572" cy="1948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viisi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koonneista, joita voi vain tulostaa tai tallentaa omaksi tiedostoksi.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tehdä: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kirjata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arvion vastikkeettoman työn laadusta ja määrärästä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kirjoittaa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näihin töihin liittyvistä vastikkeettomasta työstä.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97367</xdr:colOff>
      <xdr:row>6</xdr:row>
      <xdr:rowOff>75142</xdr:rowOff>
    </xdr:from>
    <xdr:to>
      <xdr:col>1</xdr:col>
      <xdr:colOff>2202499</xdr:colOff>
      <xdr:row>9</xdr:row>
      <xdr:rowOff>171253</xdr:rowOff>
    </xdr:to>
    <xdr:grpSp>
      <xdr:nvGrpSpPr>
        <xdr:cNvPr id="12" name="Ryhmä 11">
          <a:extLst>
            <a:ext uri="{FF2B5EF4-FFF2-40B4-BE49-F238E27FC236}">
              <a16:creationId xmlns:a16="http://schemas.microsoft.com/office/drawing/2014/main" id="{543506D1-1195-4A35-BAEF-DCDE49D76B83}"/>
            </a:ext>
          </a:extLst>
        </xdr:cNvPr>
        <xdr:cNvGrpSpPr/>
      </xdr:nvGrpSpPr>
      <xdr:grpSpPr>
        <a:xfrm>
          <a:off x="202142" y="1332442"/>
          <a:ext cx="2101957" cy="658086"/>
          <a:chOff x="290523" y="10233237"/>
          <a:chExt cx="2105132" cy="633745"/>
        </a:xfrm>
      </xdr:grpSpPr>
      <xdr:pic>
        <xdr:nvPicPr>
          <xdr:cNvPr id="13" name="Kuva 12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163C0E3D-0EB2-1563-8A28-90AEC32E72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4" name="Ellipsi 13">
            <a:extLst>
              <a:ext uri="{FF2B5EF4-FFF2-40B4-BE49-F238E27FC236}">
                <a16:creationId xmlns:a16="http://schemas.microsoft.com/office/drawing/2014/main" id="{397439EB-EFDF-6563-DC6B-30B15D5AC283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E620248B-24B8-48CC-9D8F-5D5C78C5D86D}"/>
            </a:ext>
          </a:extLst>
        </xdr:cNvPr>
        <xdr:cNvSpPr txBox="1"/>
      </xdr:nvSpPr>
      <xdr:spPr>
        <a:xfrm>
          <a:off x="2406650" y="1492251"/>
          <a:ext cx="5734051" cy="4000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0"/>
            <a:t>Jos solussa on </a:t>
          </a:r>
          <a:r>
            <a:rPr lang="fi-FI" sz="1200" b="1">
              <a:solidFill>
                <a:srgbClr val="FF0000"/>
              </a:solidFill>
            </a:rPr>
            <a:t>punainen kulma</a:t>
          </a:r>
          <a:r>
            <a:rPr lang="fi-FI" sz="1200" b="0"/>
            <a:t>, saat siitä lisää ohjeita </a:t>
          </a:r>
          <a:r>
            <a:rPr lang="fi-FI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200" b="0" baseline="0"/>
            <a:t> hiiren osoittimen solun päälle.</a:t>
          </a:r>
          <a:endParaRPr lang="fi-FI" sz="1200" b="0"/>
        </a:p>
      </xdr:txBody>
    </xdr:sp>
    <xdr:clientData/>
  </xdr:twoCellAnchor>
  <xdr:twoCellAnchor editAs="oneCell">
    <xdr:from>
      <xdr:col>1</xdr:col>
      <xdr:colOff>210608</xdr:colOff>
      <xdr:row>7</xdr:row>
      <xdr:rowOff>114300</xdr:rowOff>
    </xdr:from>
    <xdr:to>
      <xdr:col>1</xdr:col>
      <xdr:colOff>429793</xdr:colOff>
      <xdr:row>8</xdr:row>
      <xdr:rowOff>162855</xdr:rowOff>
    </xdr:to>
    <xdr:pic>
      <xdr:nvPicPr>
        <xdr:cNvPr id="16" name="Kuva 15">
          <a:extLst>
            <a:ext uri="{FF2B5EF4-FFF2-40B4-BE49-F238E27FC236}">
              <a16:creationId xmlns:a16="http://schemas.microsoft.com/office/drawing/2014/main" id="{595772F4-ED54-4071-8F2E-EE19855C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8558" y="1581150"/>
          <a:ext cx="219185" cy="223180"/>
        </a:xfrm>
        <a:prstGeom prst="rect">
          <a:avLst/>
        </a:prstGeom>
      </xdr:spPr>
    </xdr:pic>
    <xdr:clientData/>
  </xdr:twoCellAnchor>
  <xdr:twoCellAnchor>
    <xdr:from>
      <xdr:col>1</xdr:col>
      <xdr:colOff>75730</xdr:colOff>
      <xdr:row>136</xdr:row>
      <xdr:rowOff>154838</xdr:rowOff>
    </xdr:from>
    <xdr:to>
      <xdr:col>1</xdr:col>
      <xdr:colOff>4516496</xdr:colOff>
      <xdr:row>139</xdr:row>
      <xdr:rowOff>48678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E7654CE5-B798-4FC5-9DE3-3CD2D926B724}"/>
            </a:ext>
          </a:extLst>
        </xdr:cNvPr>
        <xdr:cNvSpPr txBox="1"/>
      </xdr:nvSpPr>
      <xdr:spPr>
        <a:xfrm>
          <a:off x="182643" y="25920935"/>
          <a:ext cx="4440766" cy="44784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Kustannusarvion koonti</a:t>
          </a:r>
        </a:p>
      </xdr:txBody>
    </xdr:sp>
    <xdr:clientData/>
  </xdr:twoCellAnchor>
  <xdr:twoCellAnchor>
    <xdr:from>
      <xdr:col>2</xdr:col>
      <xdr:colOff>1552574</xdr:colOff>
      <xdr:row>74</xdr:row>
      <xdr:rowOff>26532</xdr:rowOff>
    </xdr:from>
    <xdr:to>
      <xdr:col>7</xdr:col>
      <xdr:colOff>0</xdr:colOff>
      <xdr:row>81</xdr:row>
      <xdr:rowOff>155511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D08D45C0-1777-4616-AF0E-FC9D6A0EDB10}"/>
            </a:ext>
          </a:extLst>
        </xdr:cNvPr>
        <xdr:cNvSpPr txBox="1"/>
      </xdr:nvSpPr>
      <xdr:spPr>
        <a:xfrm>
          <a:off x="6511924" y="14002882"/>
          <a:ext cx="7299326" cy="141802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 i="0">
              <a:solidFill>
                <a:schemeClr val="accent1">
                  <a:lumMod val="75000"/>
                </a:schemeClr>
              </a:solidFill>
            </a:rPr>
            <a:t>3. ARVIO</a:t>
          </a:r>
          <a:r>
            <a:rPr lang="fi-FI" sz="1100" b="1" i="0" baseline="0">
              <a:solidFill>
                <a:schemeClr val="accent1">
                  <a:lumMod val="75000"/>
                </a:schemeClr>
              </a:solidFill>
            </a:rPr>
            <a:t> VASTIKKEETOMAN TYÖN LAADUSTA JA MÄÄRÄSTÄ</a:t>
          </a:r>
          <a:endParaRPr lang="fi-FI" sz="1100" b="1" i="0">
            <a:solidFill>
              <a:schemeClr val="accent1">
                <a:lumMod val="75000"/>
              </a:schemeClr>
            </a:solidFill>
          </a:endParaRPr>
        </a:p>
        <a:p>
          <a:r>
            <a:rPr lang="fi-FI" sz="1100" i="0"/>
            <a:t>Kirjoita</a:t>
          </a:r>
          <a:r>
            <a:rPr lang="fi-FI" sz="1100" i="0" baseline="0"/>
            <a:t> mitä vastikkeetonta työtä on aikomus tehdä ja kuinka monta henkilöä siihen osallistuu niihin kohtiin joihin sitä tulee. </a:t>
          </a:r>
        </a:p>
        <a:p>
          <a:endParaRPr lang="fi-FI" sz="1100" i="0" baseline="0"/>
        </a:p>
        <a:p>
          <a:r>
            <a:rPr lang="fi-FI" sz="1100" i="0" baseline="0"/>
            <a:t>Avaa tehtävä työ mahdollisimman tarkasti.</a:t>
          </a:r>
        </a:p>
        <a:p>
          <a:endParaRPr lang="fi-FI" sz="1100" i="0" baseline="0"/>
        </a:p>
        <a:p>
          <a:r>
            <a:rPr lang="fi-FI" sz="1100" i="0" baseline="0"/>
            <a:t>Muista merkitä myös arvio työn ajankohdasta. (kk/vv)</a:t>
          </a:r>
        </a:p>
        <a:p>
          <a:endParaRPr lang="fi-FI" sz="1100" i="1"/>
        </a:p>
      </xdr:txBody>
    </xdr:sp>
    <xdr:clientData/>
  </xdr:twoCellAnchor>
  <xdr:twoCellAnchor>
    <xdr:from>
      <xdr:col>2</xdr:col>
      <xdr:colOff>1572013</xdr:colOff>
      <xdr:row>81</xdr:row>
      <xdr:rowOff>161552</xdr:rowOff>
    </xdr:from>
    <xdr:to>
      <xdr:col>7</xdr:col>
      <xdr:colOff>515247</xdr:colOff>
      <xdr:row>91</xdr:row>
      <xdr:rowOff>57150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1E9847CD-0FFC-42F3-999C-09BDAD293B45}"/>
            </a:ext>
          </a:extLst>
        </xdr:cNvPr>
        <xdr:cNvSpPr txBox="1"/>
      </xdr:nvSpPr>
      <xdr:spPr>
        <a:xfrm>
          <a:off x="6531363" y="15426952"/>
          <a:ext cx="7795134" cy="1737098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b="1">
              <a:solidFill>
                <a:schemeClr val="accent1">
                  <a:lumMod val="75000"/>
                </a:schemeClr>
              </a:solidFill>
              <a:effectLst/>
            </a:rPr>
            <a:t>4. RAKENNUSSELOSTUS</a:t>
          </a: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3</xdr:col>
      <xdr:colOff>525086</xdr:colOff>
      <xdr:row>136</xdr:row>
      <xdr:rowOff>154838</xdr:rowOff>
    </xdr:from>
    <xdr:to>
      <xdr:col>5</xdr:col>
      <xdr:colOff>1316719</xdr:colOff>
      <xdr:row>139</xdr:row>
      <xdr:rowOff>70385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53E45156-4E40-4AC2-A028-580BEEEEB6CF}"/>
            </a:ext>
          </a:extLst>
        </xdr:cNvPr>
        <xdr:cNvSpPr txBox="1"/>
      </xdr:nvSpPr>
      <xdr:spPr>
        <a:xfrm>
          <a:off x="7561923" y="25920935"/>
          <a:ext cx="4436403" cy="469552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Talkootyön koonti (vastikkeeton työ)</a:t>
          </a:r>
        </a:p>
      </xdr:txBody>
    </xdr:sp>
    <xdr:clientData/>
  </xdr:twoCellAnchor>
  <xdr:twoCellAnchor>
    <xdr:from>
      <xdr:col>1</xdr:col>
      <xdr:colOff>56465</xdr:colOff>
      <xdr:row>74</xdr:row>
      <xdr:rowOff>83816</xdr:rowOff>
    </xdr:from>
    <xdr:to>
      <xdr:col>2</xdr:col>
      <xdr:colOff>768736</xdr:colOff>
      <xdr:row>93</xdr:row>
      <xdr:rowOff>126352</xdr:rowOff>
    </xdr:to>
    <xdr:sp macro="" textlink="">
      <xdr:nvSpPr>
        <xdr:cNvPr id="21" name="Tekstiruutu 20">
          <a:extLst>
            <a:ext uri="{FF2B5EF4-FFF2-40B4-BE49-F238E27FC236}">
              <a16:creationId xmlns:a16="http://schemas.microsoft.com/office/drawing/2014/main" id="{A4B61EB1-BD7F-4A64-A661-53AEBD0B4CC1}"/>
            </a:ext>
          </a:extLst>
        </xdr:cNvPr>
        <xdr:cNvSpPr txBox="1"/>
      </xdr:nvSpPr>
      <xdr:spPr>
        <a:xfrm>
          <a:off x="164415" y="14060166"/>
          <a:ext cx="5563671" cy="3541386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ysClr val="windowText" lastClr="000000"/>
              </a:solidFill>
            </a:rPr>
            <a:t>Päätaulukko</a:t>
          </a:r>
          <a:r>
            <a:rPr lang="fi-FI" sz="1100" b="0" baseline="0">
              <a:solidFill>
                <a:sysClr val="windowText" lastClr="000000"/>
              </a:solidFill>
            </a:rPr>
            <a:t> muodostuu kolmesta osasta. Soluihin täytetään kulloisesenkin rakennushankkeen kustannukset, vastikkeeton työ sekä rakennusselostus.</a:t>
          </a:r>
        </a:p>
        <a:p>
          <a:endParaRPr lang="fi-FI" sz="1100" b="0" baseline="0">
            <a:solidFill>
              <a:sysClr val="windowText" lastClr="000000"/>
            </a:solidFill>
          </a:endParaRPr>
        </a:p>
        <a:p>
          <a:r>
            <a:rPr lang="fi-FI" sz="1100" b="1">
              <a:solidFill>
                <a:schemeClr val="accent1">
                  <a:lumMod val="75000"/>
                </a:schemeClr>
              </a:solidFill>
            </a:rPr>
            <a:t>2. KUSTANNUSARVIO</a:t>
          </a:r>
        </a:p>
        <a:p>
          <a:r>
            <a:rPr lang="fi-FI" sz="1100"/>
            <a:t>Täytä taulukkoa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</a:t>
          </a:r>
          <a:r>
            <a:rPr lang="fi-FI" sz="1100" b="1"/>
            <a:t>Muista merkitä onko</a:t>
          </a:r>
          <a:r>
            <a:rPr lang="fi-FI" sz="1100" b="1" baseline="0"/>
            <a:t> hinnoissa ALV mukana vai ei. </a:t>
          </a:r>
          <a:r>
            <a:rPr lang="fi-FI" sz="1100" b="0" baseline="0"/>
            <a:t>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materiaalit, urakat/tuntityön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vastikkeettoman työn arvon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1</xdr:col>
      <xdr:colOff>48837</xdr:colOff>
      <xdr:row>156</xdr:row>
      <xdr:rowOff>54459</xdr:rowOff>
    </xdr:from>
    <xdr:to>
      <xdr:col>2</xdr:col>
      <xdr:colOff>1115333</xdr:colOff>
      <xdr:row>158</xdr:row>
      <xdr:rowOff>49633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C1AF8517-0F0E-402A-B80E-A299BCA18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32549"/>
        <a:stretch/>
      </xdr:blipFill>
      <xdr:spPr>
        <a:xfrm>
          <a:off x="155750" y="29572240"/>
          <a:ext cx="5916471" cy="358160"/>
        </a:xfrm>
        <a:prstGeom prst="rect">
          <a:avLst/>
        </a:prstGeom>
      </xdr:spPr>
    </xdr:pic>
    <xdr:clientData/>
  </xdr:twoCellAnchor>
  <xdr:twoCellAnchor>
    <xdr:from>
      <xdr:col>1</xdr:col>
      <xdr:colOff>246912</xdr:colOff>
      <xdr:row>45</xdr:row>
      <xdr:rowOff>87768</xdr:rowOff>
    </xdr:from>
    <xdr:to>
      <xdr:col>2</xdr:col>
      <xdr:colOff>712466</xdr:colOff>
      <xdr:row>49</xdr:row>
      <xdr:rowOff>133400</xdr:rowOff>
    </xdr:to>
    <xdr:grpSp>
      <xdr:nvGrpSpPr>
        <xdr:cNvPr id="23" name="Ryhmä 22">
          <a:extLst>
            <a:ext uri="{FF2B5EF4-FFF2-40B4-BE49-F238E27FC236}">
              <a16:creationId xmlns:a16="http://schemas.microsoft.com/office/drawing/2014/main" id="{31BA6267-1497-448A-A03F-B1BB03F52AEB}"/>
            </a:ext>
          </a:extLst>
        </xdr:cNvPr>
        <xdr:cNvGrpSpPr/>
      </xdr:nvGrpSpPr>
      <xdr:grpSpPr>
        <a:xfrm>
          <a:off x="351687" y="8580893"/>
          <a:ext cx="5316954" cy="772707"/>
          <a:chOff x="126461" y="8819490"/>
          <a:chExt cx="5328901" cy="759703"/>
        </a:xfrm>
      </xdr:grpSpPr>
      <xdr:sp macro="" textlink="">
        <xdr:nvSpPr>
          <xdr:cNvPr id="24" name="Nuoli: Kaareva ylös 23">
            <a:extLst>
              <a:ext uri="{FF2B5EF4-FFF2-40B4-BE49-F238E27FC236}">
                <a16:creationId xmlns:a16="http://schemas.microsoft.com/office/drawing/2014/main" id="{D9B89611-B44A-482F-DDD0-7BDC85ACE271}"/>
              </a:ext>
            </a:extLst>
          </xdr:cNvPr>
          <xdr:cNvSpPr/>
        </xdr:nvSpPr>
        <xdr:spPr>
          <a:xfrm>
            <a:off x="856140" y="9095481"/>
            <a:ext cx="2412225" cy="440234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pic>
        <xdr:nvPicPr>
          <xdr:cNvPr id="25" name="Kuva 24">
            <a:extLst>
              <a:ext uri="{FF2B5EF4-FFF2-40B4-BE49-F238E27FC236}">
                <a16:creationId xmlns:a16="http://schemas.microsoft.com/office/drawing/2014/main" id="{9C46EAEB-0CA3-F810-F1FB-240D892760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26461" y="8819490"/>
            <a:ext cx="5328901" cy="239743"/>
          </a:xfrm>
          <a:prstGeom prst="rect">
            <a:avLst/>
          </a:prstGeom>
        </xdr:spPr>
      </xdr:pic>
      <xdr:sp macro="" textlink="">
        <xdr:nvSpPr>
          <xdr:cNvPr id="26" name="Nuoli: Kaareva ylös 25">
            <a:extLst>
              <a:ext uri="{FF2B5EF4-FFF2-40B4-BE49-F238E27FC236}">
                <a16:creationId xmlns:a16="http://schemas.microsoft.com/office/drawing/2014/main" id="{4177EFE5-10AA-1F80-EBEE-841CFCB75F9C}"/>
              </a:ext>
            </a:extLst>
          </xdr:cNvPr>
          <xdr:cNvSpPr/>
        </xdr:nvSpPr>
        <xdr:spPr>
          <a:xfrm>
            <a:off x="657447" y="9087179"/>
            <a:ext cx="3412258" cy="4755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27" name="Nuoli: Kaareva ylös 26">
            <a:extLst>
              <a:ext uri="{FF2B5EF4-FFF2-40B4-BE49-F238E27FC236}">
                <a16:creationId xmlns:a16="http://schemas.microsoft.com/office/drawing/2014/main" id="{1F32A14C-AE98-508C-0A2F-11E37AEE4A3E}"/>
              </a:ext>
            </a:extLst>
          </xdr:cNvPr>
          <xdr:cNvSpPr/>
        </xdr:nvSpPr>
        <xdr:spPr>
          <a:xfrm>
            <a:off x="469122" y="9094281"/>
            <a:ext cx="4419212" cy="4849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160117</xdr:colOff>
      <xdr:row>160</xdr:row>
      <xdr:rowOff>157078</xdr:rowOff>
    </xdr:from>
    <xdr:to>
      <xdr:col>1</xdr:col>
      <xdr:colOff>4618875</xdr:colOff>
      <xdr:row>163</xdr:row>
      <xdr:rowOff>62669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FAE6B33A-D2D0-429E-88FE-D35AF3AEEE8B}"/>
            </a:ext>
          </a:extLst>
        </xdr:cNvPr>
        <xdr:cNvSpPr txBox="1"/>
      </xdr:nvSpPr>
      <xdr:spPr>
        <a:xfrm>
          <a:off x="267030" y="30413532"/>
          <a:ext cx="4458758" cy="459596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 koonti</a:t>
          </a:r>
        </a:p>
      </xdr:txBody>
    </xdr:sp>
    <xdr:clientData/>
  </xdr:twoCellAnchor>
  <xdr:twoCellAnchor editAs="oneCell">
    <xdr:from>
      <xdr:col>1</xdr:col>
      <xdr:colOff>134732</xdr:colOff>
      <xdr:row>174</xdr:row>
      <xdr:rowOff>94118</xdr:rowOff>
    </xdr:from>
    <xdr:to>
      <xdr:col>3</xdr:col>
      <xdr:colOff>391366</xdr:colOff>
      <xdr:row>175</xdr:row>
      <xdr:rowOff>65120</xdr:rowOff>
    </xdr:to>
    <xdr:pic>
      <xdr:nvPicPr>
        <xdr:cNvPr id="30" name="Kuva 29">
          <a:extLst>
            <a:ext uri="{FF2B5EF4-FFF2-40B4-BE49-F238E27FC236}">
              <a16:creationId xmlns:a16="http://schemas.microsoft.com/office/drawing/2014/main" id="{43B76477-6522-4CCF-8946-A1BA798B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1645" y="34529909"/>
          <a:ext cx="7180208" cy="307811"/>
        </a:xfrm>
        <a:prstGeom prst="rect">
          <a:avLst/>
        </a:prstGeom>
      </xdr:spPr>
    </xdr:pic>
    <xdr:clientData/>
  </xdr:twoCellAnchor>
  <xdr:twoCellAnchor>
    <xdr:from>
      <xdr:col>1</xdr:col>
      <xdr:colOff>133647</xdr:colOff>
      <xdr:row>95</xdr:row>
      <xdr:rowOff>78004</xdr:rowOff>
    </xdr:from>
    <xdr:to>
      <xdr:col>1</xdr:col>
      <xdr:colOff>2513635</xdr:colOff>
      <xdr:row>97</xdr:row>
      <xdr:rowOff>154203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4BF61782-AE0C-4C63-AFD1-C64AA2D7A3D3}"/>
            </a:ext>
          </a:extLst>
        </xdr:cNvPr>
        <xdr:cNvSpPr txBox="1"/>
      </xdr:nvSpPr>
      <xdr:spPr>
        <a:xfrm>
          <a:off x="241597" y="17921504"/>
          <a:ext cx="2379988" cy="444499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5. Rahoitussuunnitelma</a:t>
          </a:r>
        </a:p>
      </xdr:txBody>
    </xdr:sp>
    <xdr:clientData/>
  </xdr:twoCellAnchor>
  <xdr:twoCellAnchor>
    <xdr:from>
      <xdr:col>2</xdr:col>
      <xdr:colOff>1549788</xdr:colOff>
      <xdr:row>90</xdr:row>
      <xdr:rowOff>172694</xdr:rowOff>
    </xdr:from>
    <xdr:to>
      <xdr:col>7</xdr:col>
      <xdr:colOff>488474</xdr:colOff>
      <xdr:row>99</xdr:row>
      <xdr:rowOff>106152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AE1FB7E1-0DD2-4DF9-B6FC-947FFC5A8C83}"/>
            </a:ext>
          </a:extLst>
        </xdr:cNvPr>
        <xdr:cNvSpPr txBox="1"/>
      </xdr:nvSpPr>
      <xdr:spPr>
        <a:xfrm>
          <a:off x="6509138" y="17095444"/>
          <a:ext cx="7790586" cy="159080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tai talkootyö osioista,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1722789</xdr:colOff>
      <xdr:row>101</xdr:row>
      <xdr:rowOff>142088</xdr:rowOff>
    </xdr:from>
    <xdr:to>
      <xdr:col>7</xdr:col>
      <xdr:colOff>353976</xdr:colOff>
      <xdr:row>106</xdr:row>
      <xdr:rowOff>104655</xdr:rowOff>
    </xdr:to>
    <xdr:sp macro="" textlink="">
      <xdr:nvSpPr>
        <xdr:cNvPr id="33" name="Tekstiruutu 32">
          <a:extLst>
            <a:ext uri="{FF2B5EF4-FFF2-40B4-BE49-F238E27FC236}">
              <a16:creationId xmlns:a16="http://schemas.microsoft.com/office/drawing/2014/main" id="{37D09B7A-23D0-4E60-91A2-2DEC55A629A5}"/>
            </a:ext>
          </a:extLst>
        </xdr:cNvPr>
        <xdr:cNvSpPr txBox="1"/>
      </xdr:nvSpPr>
      <xdr:spPr>
        <a:xfrm>
          <a:off x="8758589" y="19090488"/>
          <a:ext cx="5406637" cy="88331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5. RAHOITUSSUUNNITELMA</a:t>
          </a:r>
        </a:p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3</xdr:col>
      <xdr:colOff>1722789</xdr:colOff>
      <xdr:row>106</xdr:row>
      <xdr:rowOff>103347</xdr:rowOff>
    </xdr:from>
    <xdr:to>
      <xdr:col>7</xdr:col>
      <xdr:colOff>96131</xdr:colOff>
      <xdr:row>115</xdr:row>
      <xdr:rowOff>83240</xdr:rowOff>
    </xdr:to>
    <xdr:sp macro="" textlink="">
      <xdr:nvSpPr>
        <xdr:cNvPr id="34" name="Tekstiruutu 33">
          <a:extLst>
            <a:ext uri="{FF2B5EF4-FFF2-40B4-BE49-F238E27FC236}">
              <a16:creationId xmlns:a16="http://schemas.microsoft.com/office/drawing/2014/main" id="{2D28B0BB-3516-4EE5-A713-A7BBAB8DC709}"/>
            </a:ext>
          </a:extLst>
        </xdr:cNvPr>
        <xdr:cNvSpPr txBox="1"/>
      </xdr:nvSpPr>
      <xdr:spPr>
        <a:xfrm>
          <a:off x="8758589" y="19972497"/>
          <a:ext cx="5148792" cy="163724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Taulukosta</a:t>
          </a:r>
          <a:r>
            <a:rPr lang="fi-FI" sz="1100" baseline="0"/>
            <a:t> näkee miten yksityinen raha jakaantuu talkootyöksi ja yksityiseen rahaan.</a:t>
          </a:r>
        </a:p>
        <a:p>
          <a:r>
            <a:rPr lang="fi-FI" sz="1100" baseline="0"/>
            <a:t>Jos arvioitua vastikkeetonta työtä on enemmän kuin rahoitussuunnitelmassa, solu muuttuu mustaksi. Sinun tulee silloin ottaa yhteyttä rahoittajaan ja keskustella talkootöiden sisällöstä talkootyösuunnitelmassa.</a:t>
          </a:r>
        </a:p>
        <a:p>
          <a:endParaRPr lang="fi-FI" sz="1100" baseline="0"/>
        </a:p>
        <a:p>
          <a:r>
            <a:rPr lang="fi-FI" sz="1100" baseline="0"/>
            <a:t>Taulukosta näkee myös paljonko tarvitaan yksityistä rahaa, jos talkootyötä ei synny riittävästi.</a:t>
          </a:r>
        </a:p>
      </xdr:txBody>
    </xdr:sp>
    <xdr:clientData/>
  </xdr:twoCellAnchor>
  <xdr:twoCellAnchor>
    <xdr:from>
      <xdr:col>1</xdr:col>
      <xdr:colOff>122470</xdr:colOff>
      <xdr:row>124</xdr:row>
      <xdr:rowOff>173776</xdr:rowOff>
    </xdr:from>
    <xdr:to>
      <xdr:col>3</xdr:col>
      <xdr:colOff>345370</xdr:colOff>
      <xdr:row>129</xdr:row>
      <xdr:rowOff>259061</xdr:rowOff>
    </xdr:to>
    <xdr:grpSp>
      <xdr:nvGrpSpPr>
        <xdr:cNvPr id="35" name="Ryhmä 34">
          <a:extLst>
            <a:ext uri="{FF2B5EF4-FFF2-40B4-BE49-F238E27FC236}">
              <a16:creationId xmlns:a16="http://schemas.microsoft.com/office/drawing/2014/main" id="{584CC147-9941-439F-9C31-3FAE4A400DAA}"/>
            </a:ext>
          </a:extLst>
        </xdr:cNvPr>
        <xdr:cNvGrpSpPr/>
      </xdr:nvGrpSpPr>
      <xdr:grpSpPr>
        <a:xfrm>
          <a:off x="230420" y="23195701"/>
          <a:ext cx="7144400" cy="986985"/>
          <a:chOff x="133739" y="22241846"/>
          <a:chExt cx="7143510" cy="975189"/>
        </a:xfrm>
      </xdr:grpSpPr>
      <xdr:pic>
        <xdr:nvPicPr>
          <xdr:cNvPr id="36" name="Kuva 35">
            <a:extLst>
              <a:ext uri="{FF2B5EF4-FFF2-40B4-BE49-F238E27FC236}">
                <a16:creationId xmlns:a16="http://schemas.microsoft.com/office/drawing/2014/main" id="{1B946379-67E6-4BFC-9522-FA99D4793B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33739" y="22241846"/>
            <a:ext cx="7143510" cy="303129"/>
          </a:xfrm>
          <a:prstGeom prst="rect">
            <a:avLst/>
          </a:prstGeom>
        </xdr:spPr>
      </xdr:pic>
      <xdr:sp macro="" textlink="">
        <xdr:nvSpPr>
          <xdr:cNvPr id="37" name="Nuoli: Kaareva ylös 36">
            <a:extLst>
              <a:ext uri="{FF2B5EF4-FFF2-40B4-BE49-F238E27FC236}">
                <a16:creationId xmlns:a16="http://schemas.microsoft.com/office/drawing/2014/main" id="{5C91099B-B7A4-8C47-5CAB-2E5BDF6AB5FE}"/>
              </a:ext>
            </a:extLst>
          </xdr:cNvPr>
          <xdr:cNvSpPr/>
        </xdr:nvSpPr>
        <xdr:spPr>
          <a:xfrm>
            <a:off x="2243296" y="22656456"/>
            <a:ext cx="2883580" cy="560579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39" name="Nuoli: Kaareva ylös 38">
            <a:extLst>
              <a:ext uri="{FF2B5EF4-FFF2-40B4-BE49-F238E27FC236}">
                <a16:creationId xmlns:a16="http://schemas.microsoft.com/office/drawing/2014/main" id="{755AD4CA-424A-AC2A-E613-1B654F2EF055}"/>
              </a:ext>
            </a:extLst>
          </xdr:cNvPr>
          <xdr:cNvSpPr/>
        </xdr:nvSpPr>
        <xdr:spPr>
          <a:xfrm>
            <a:off x="1111616" y="22650893"/>
            <a:ext cx="3685231" cy="372118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1</xdr:col>
      <xdr:colOff>111925</xdr:colOff>
      <xdr:row>117</xdr:row>
      <xdr:rowOff>47760</xdr:rowOff>
    </xdr:from>
    <xdr:to>
      <xdr:col>1</xdr:col>
      <xdr:colOff>4361229</xdr:colOff>
      <xdr:row>119</xdr:row>
      <xdr:rowOff>57971</xdr:rowOff>
    </xdr:to>
    <xdr:pic>
      <xdr:nvPicPr>
        <xdr:cNvPr id="40" name="Kuva 39">
          <a:extLst>
            <a:ext uri="{FF2B5EF4-FFF2-40B4-BE49-F238E27FC236}">
              <a16:creationId xmlns:a16="http://schemas.microsoft.com/office/drawing/2014/main" id="{C58003DE-0B87-408E-8157-90167D863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49270"/>
        <a:stretch/>
      </xdr:blipFill>
      <xdr:spPr>
        <a:xfrm>
          <a:off x="219875" y="21942560"/>
          <a:ext cx="4249304" cy="375336"/>
        </a:xfrm>
        <a:prstGeom prst="rect">
          <a:avLst/>
        </a:prstGeom>
      </xdr:spPr>
    </xdr:pic>
    <xdr:clientData/>
  </xdr:twoCellAnchor>
  <xdr:twoCellAnchor editAs="oneCell">
    <xdr:from>
      <xdr:col>3</xdr:col>
      <xdr:colOff>485259</xdr:colOff>
      <xdr:row>154</xdr:row>
      <xdr:rowOff>7300</xdr:rowOff>
    </xdr:from>
    <xdr:to>
      <xdr:col>7</xdr:col>
      <xdr:colOff>265011</xdr:colOff>
      <xdr:row>155</xdr:row>
      <xdr:rowOff>170219</xdr:rowOff>
    </xdr:to>
    <xdr:pic>
      <xdr:nvPicPr>
        <xdr:cNvPr id="41" name="Kuva 40">
          <a:extLst>
            <a:ext uri="{FF2B5EF4-FFF2-40B4-BE49-F238E27FC236}">
              <a16:creationId xmlns:a16="http://schemas.microsoft.com/office/drawing/2014/main" id="{11E9ABE8-060E-4C04-B684-FC7C407B8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18871"/>
        <a:stretch/>
      </xdr:blipFill>
      <xdr:spPr>
        <a:xfrm>
          <a:off x="7522096" y="29155744"/>
          <a:ext cx="6554165" cy="347587"/>
        </a:xfrm>
        <a:prstGeom prst="rect">
          <a:avLst/>
        </a:prstGeom>
      </xdr:spPr>
    </xdr:pic>
    <xdr:clientData/>
  </xdr:twoCellAnchor>
  <xdr:twoCellAnchor>
    <xdr:from>
      <xdr:col>5</xdr:col>
      <xdr:colOff>2038512</xdr:colOff>
      <xdr:row>154</xdr:row>
      <xdr:rowOff>56471</xdr:rowOff>
    </xdr:from>
    <xdr:to>
      <xdr:col>7</xdr:col>
      <xdr:colOff>125641</xdr:colOff>
      <xdr:row>155</xdr:row>
      <xdr:rowOff>183695</xdr:rowOff>
    </xdr:to>
    <xdr:sp macro="" textlink="">
      <xdr:nvSpPr>
        <xdr:cNvPr id="42" name="Suorakulmio 41">
          <a:extLst>
            <a:ext uri="{FF2B5EF4-FFF2-40B4-BE49-F238E27FC236}">
              <a16:creationId xmlns:a16="http://schemas.microsoft.com/office/drawing/2014/main" id="{72A07D2D-3171-4852-AB35-ABFDDC22BD02}"/>
            </a:ext>
          </a:extLst>
        </xdr:cNvPr>
        <xdr:cNvSpPr/>
      </xdr:nvSpPr>
      <xdr:spPr>
        <a:xfrm>
          <a:off x="12720119" y="29204915"/>
          <a:ext cx="1216772" cy="31189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4026815</xdr:colOff>
      <xdr:row>156</xdr:row>
      <xdr:rowOff>102717</xdr:rowOff>
    </xdr:from>
    <xdr:to>
      <xdr:col>2</xdr:col>
      <xdr:colOff>817338</xdr:colOff>
      <xdr:row>158</xdr:row>
      <xdr:rowOff>67927</xdr:rowOff>
    </xdr:to>
    <xdr:sp macro="" textlink="">
      <xdr:nvSpPr>
        <xdr:cNvPr id="43" name="Suorakulmio 42">
          <a:extLst>
            <a:ext uri="{FF2B5EF4-FFF2-40B4-BE49-F238E27FC236}">
              <a16:creationId xmlns:a16="http://schemas.microsoft.com/office/drawing/2014/main" id="{CA6A9DB4-25A7-4E57-A73B-2A031D621CC7}"/>
            </a:ext>
          </a:extLst>
        </xdr:cNvPr>
        <xdr:cNvSpPr/>
      </xdr:nvSpPr>
      <xdr:spPr>
        <a:xfrm>
          <a:off x="4133728" y="29620498"/>
          <a:ext cx="1640498" cy="33454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993410</xdr:colOff>
      <xdr:row>174</xdr:row>
      <xdr:rowOff>94090</xdr:rowOff>
    </xdr:from>
    <xdr:to>
      <xdr:col>3</xdr:col>
      <xdr:colOff>324316</xdr:colOff>
      <xdr:row>175</xdr:row>
      <xdr:rowOff>67316</xdr:rowOff>
    </xdr:to>
    <xdr:sp macro="" textlink="">
      <xdr:nvSpPr>
        <xdr:cNvPr id="44" name="Suorakulmio 43">
          <a:extLst>
            <a:ext uri="{FF2B5EF4-FFF2-40B4-BE49-F238E27FC236}">
              <a16:creationId xmlns:a16="http://schemas.microsoft.com/office/drawing/2014/main" id="{CB95C799-613C-4F30-B73E-729A7A1AE523}"/>
            </a:ext>
          </a:extLst>
        </xdr:cNvPr>
        <xdr:cNvSpPr/>
      </xdr:nvSpPr>
      <xdr:spPr>
        <a:xfrm>
          <a:off x="5950298" y="34529881"/>
          <a:ext cx="1410855" cy="30368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2000250</xdr:colOff>
      <xdr:row>11</xdr:row>
      <xdr:rowOff>95249</xdr:rowOff>
    </xdr:from>
    <xdr:to>
      <xdr:col>7</xdr:col>
      <xdr:colOff>139247</xdr:colOff>
      <xdr:row>15</xdr:row>
      <xdr:rowOff>124252</xdr:rowOff>
    </xdr:to>
    <xdr:sp macro="" textlink="">
      <xdr:nvSpPr>
        <xdr:cNvPr id="46" name="Tekstiruutu 45">
          <a:extLst>
            <a:ext uri="{FF2B5EF4-FFF2-40B4-BE49-F238E27FC236}">
              <a16:creationId xmlns:a16="http://schemas.microsoft.com/office/drawing/2014/main" id="{F1F32FF1-4337-41FA-8414-5C8DEAE2ACD2}"/>
            </a:ext>
          </a:extLst>
        </xdr:cNvPr>
        <xdr:cNvSpPr txBox="1"/>
      </xdr:nvSpPr>
      <xdr:spPr>
        <a:xfrm>
          <a:off x="9036050" y="2298699"/>
          <a:ext cx="4914447" cy="765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3</xdr:col>
      <xdr:colOff>2038291</xdr:colOff>
      <xdr:row>16</xdr:row>
      <xdr:rowOff>60126</xdr:rowOff>
    </xdr:from>
    <xdr:to>
      <xdr:col>7</xdr:col>
      <xdr:colOff>295235</xdr:colOff>
      <xdr:row>22</xdr:row>
      <xdr:rowOff>136071</xdr:rowOff>
    </xdr:to>
    <xdr:grpSp>
      <xdr:nvGrpSpPr>
        <xdr:cNvPr id="47" name="Ryhmä 46">
          <a:extLst>
            <a:ext uri="{FF2B5EF4-FFF2-40B4-BE49-F238E27FC236}">
              <a16:creationId xmlns:a16="http://schemas.microsoft.com/office/drawing/2014/main" id="{4ACFB80A-8540-40B7-9AA3-D02C1729653E}"/>
            </a:ext>
          </a:extLst>
        </xdr:cNvPr>
        <xdr:cNvGrpSpPr/>
      </xdr:nvGrpSpPr>
      <xdr:grpSpPr>
        <a:xfrm>
          <a:off x="9067741" y="3146226"/>
          <a:ext cx="5032394" cy="1161795"/>
          <a:chOff x="9127613" y="3192944"/>
          <a:chExt cx="5036476" cy="1134127"/>
        </a:xfrm>
      </xdr:grpSpPr>
      <xdr:pic>
        <xdr:nvPicPr>
          <xdr:cNvPr id="48" name="Kuva 47">
            <a:extLst>
              <a:ext uri="{FF2B5EF4-FFF2-40B4-BE49-F238E27FC236}">
                <a16:creationId xmlns:a16="http://schemas.microsoft.com/office/drawing/2014/main" id="{DA5B85B4-F1AE-89A2-C960-D36D694A13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9127613" y="3289253"/>
            <a:ext cx="5036476" cy="103781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49" name="Ellipsi 48">
            <a:extLst>
              <a:ext uri="{FF2B5EF4-FFF2-40B4-BE49-F238E27FC236}">
                <a16:creationId xmlns:a16="http://schemas.microsoft.com/office/drawing/2014/main" id="{DB70B334-900D-EBC2-B0D2-6FC533E11CD9}"/>
              </a:ext>
            </a:extLst>
          </xdr:cNvPr>
          <xdr:cNvSpPr/>
        </xdr:nvSpPr>
        <xdr:spPr>
          <a:xfrm>
            <a:off x="9561142" y="3192944"/>
            <a:ext cx="593695" cy="41569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sp macro="" textlink="">
        <xdr:nvSpPr>
          <xdr:cNvPr id="50" name="Ellipsi 49">
            <a:extLst>
              <a:ext uri="{FF2B5EF4-FFF2-40B4-BE49-F238E27FC236}">
                <a16:creationId xmlns:a16="http://schemas.microsoft.com/office/drawing/2014/main" id="{B216A9C6-5D5B-26EC-4AFB-6AA55AAECACA}"/>
              </a:ext>
            </a:extLst>
          </xdr:cNvPr>
          <xdr:cNvSpPr/>
        </xdr:nvSpPr>
        <xdr:spPr>
          <a:xfrm flipH="1">
            <a:off x="13057354" y="3543497"/>
            <a:ext cx="973511" cy="37259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2</xdr:col>
      <xdr:colOff>1157906</xdr:colOff>
      <xdr:row>35</xdr:row>
      <xdr:rowOff>169084</xdr:rowOff>
    </xdr:from>
    <xdr:to>
      <xdr:col>4</xdr:col>
      <xdr:colOff>370876</xdr:colOff>
      <xdr:row>40</xdr:row>
      <xdr:rowOff>180653</xdr:rowOff>
    </xdr:to>
    <xdr:sp macro="" textlink="">
      <xdr:nvSpPr>
        <xdr:cNvPr id="51" name="Tekstiruutu 50">
          <a:extLst>
            <a:ext uri="{FF2B5EF4-FFF2-40B4-BE49-F238E27FC236}">
              <a16:creationId xmlns:a16="http://schemas.microsoft.com/office/drawing/2014/main" id="{752D4DE5-9707-4457-9452-F055C8D12E9D}"/>
            </a:ext>
          </a:extLst>
        </xdr:cNvPr>
        <xdr:cNvSpPr txBox="1"/>
      </xdr:nvSpPr>
      <xdr:spPr>
        <a:xfrm>
          <a:off x="6114794" y="6972655"/>
          <a:ext cx="3703327" cy="9349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>
    <xdr:from>
      <xdr:col>1</xdr:col>
      <xdr:colOff>526489</xdr:colOff>
      <xdr:row>45</xdr:row>
      <xdr:rowOff>112458</xdr:rowOff>
    </xdr:from>
    <xdr:to>
      <xdr:col>1</xdr:col>
      <xdr:colOff>1264530</xdr:colOff>
      <xdr:row>46</xdr:row>
      <xdr:rowOff>149357</xdr:rowOff>
    </xdr:to>
    <xdr:sp macro="" textlink="">
      <xdr:nvSpPr>
        <xdr:cNvPr id="52" name="Suorakulmio 51">
          <a:extLst>
            <a:ext uri="{FF2B5EF4-FFF2-40B4-BE49-F238E27FC236}">
              <a16:creationId xmlns:a16="http://schemas.microsoft.com/office/drawing/2014/main" id="{5A5FEE51-15D1-411A-B142-B1CC430CFFC8}"/>
            </a:ext>
          </a:extLst>
        </xdr:cNvPr>
        <xdr:cNvSpPr/>
      </xdr:nvSpPr>
      <xdr:spPr>
        <a:xfrm>
          <a:off x="634439" y="8735758"/>
          <a:ext cx="738041" cy="2210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1192271</xdr:colOff>
      <xdr:row>62</xdr:row>
      <xdr:rowOff>99541</xdr:rowOff>
    </xdr:from>
    <xdr:to>
      <xdr:col>2</xdr:col>
      <xdr:colOff>219706</xdr:colOff>
      <xdr:row>64</xdr:row>
      <xdr:rowOff>184882</xdr:rowOff>
    </xdr:to>
    <xdr:sp macro="" textlink="">
      <xdr:nvSpPr>
        <xdr:cNvPr id="53" name="Tekstiruutu 52">
          <a:extLst>
            <a:ext uri="{FF2B5EF4-FFF2-40B4-BE49-F238E27FC236}">
              <a16:creationId xmlns:a16="http://schemas.microsoft.com/office/drawing/2014/main" id="{50A38F8B-2F59-4404-A6F4-FEE0352B5259}"/>
            </a:ext>
          </a:extLst>
        </xdr:cNvPr>
        <xdr:cNvSpPr txBox="1"/>
      </xdr:nvSpPr>
      <xdr:spPr>
        <a:xfrm>
          <a:off x="1300221" y="11853391"/>
          <a:ext cx="3878835" cy="45364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2. Kustannusarvio ja rahoitussuunnitelma</a:t>
          </a:r>
        </a:p>
      </xdr:txBody>
    </xdr:sp>
    <xdr:clientData/>
  </xdr:twoCellAnchor>
  <xdr:twoCellAnchor>
    <xdr:from>
      <xdr:col>2</xdr:col>
      <xdr:colOff>1648126</xdr:colOff>
      <xdr:row>61</xdr:row>
      <xdr:rowOff>151073</xdr:rowOff>
    </xdr:from>
    <xdr:to>
      <xdr:col>3</xdr:col>
      <xdr:colOff>2143125</xdr:colOff>
      <xdr:row>65</xdr:row>
      <xdr:rowOff>114300</xdr:rowOff>
    </xdr:to>
    <xdr:sp macro="" textlink="">
      <xdr:nvSpPr>
        <xdr:cNvPr id="54" name="Tekstiruutu 53">
          <a:extLst>
            <a:ext uri="{FF2B5EF4-FFF2-40B4-BE49-F238E27FC236}">
              <a16:creationId xmlns:a16="http://schemas.microsoft.com/office/drawing/2014/main" id="{AA866E5E-F0A3-4B5C-BA49-39295CDAB78F}"/>
            </a:ext>
          </a:extLst>
        </xdr:cNvPr>
        <xdr:cNvSpPr txBox="1"/>
      </xdr:nvSpPr>
      <xdr:spPr>
        <a:xfrm>
          <a:off x="6607476" y="11720773"/>
          <a:ext cx="2571449" cy="71252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3. Arvio vastikeettoman työn </a:t>
          </a:r>
        </a:p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laadusta ja määrästä</a:t>
          </a:r>
        </a:p>
      </xdr:txBody>
    </xdr:sp>
    <xdr:clientData/>
  </xdr:twoCellAnchor>
  <xdr:twoCellAnchor>
    <xdr:from>
      <xdr:col>4</xdr:col>
      <xdr:colOff>769534</xdr:colOff>
      <xdr:row>62</xdr:row>
      <xdr:rowOff>98720</xdr:rowOff>
    </xdr:from>
    <xdr:to>
      <xdr:col>5</xdr:col>
      <xdr:colOff>1892902</xdr:colOff>
      <xdr:row>64</xdr:row>
      <xdr:rowOff>185702</xdr:rowOff>
    </xdr:to>
    <xdr:sp macro="" textlink="">
      <xdr:nvSpPr>
        <xdr:cNvPr id="55" name="Tekstiruutu 54">
          <a:extLst>
            <a:ext uri="{FF2B5EF4-FFF2-40B4-BE49-F238E27FC236}">
              <a16:creationId xmlns:a16="http://schemas.microsoft.com/office/drawing/2014/main" id="{B143AE8C-6A83-4799-9DD8-323656ABDDA5}"/>
            </a:ext>
          </a:extLst>
        </xdr:cNvPr>
        <xdr:cNvSpPr txBox="1"/>
      </xdr:nvSpPr>
      <xdr:spPr>
        <a:xfrm>
          <a:off x="10218334" y="11852570"/>
          <a:ext cx="2361618" cy="455282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4. Rakennusselostus</a:t>
          </a:r>
        </a:p>
      </xdr:txBody>
    </xdr:sp>
    <xdr:clientData/>
  </xdr:twoCellAnchor>
  <xdr:twoCellAnchor editAs="oneCell">
    <xdr:from>
      <xdr:col>1</xdr:col>
      <xdr:colOff>15875</xdr:colOff>
      <xdr:row>70</xdr:row>
      <xdr:rowOff>132292</xdr:rowOff>
    </xdr:from>
    <xdr:to>
      <xdr:col>3</xdr:col>
      <xdr:colOff>257692</xdr:colOff>
      <xdr:row>72</xdr:row>
      <xdr:rowOff>103276</xdr:rowOff>
    </xdr:to>
    <xdr:pic>
      <xdr:nvPicPr>
        <xdr:cNvPr id="56" name="Kuva 55">
          <a:extLst>
            <a:ext uri="{FF2B5EF4-FFF2-40B4-BE49-F238E27FC236}">
              <a16:creationId xmlns:a16="http://schemas.microsoft.com/office/drawing/2014/main" id="{067C4476-8DE7-4267-B5E6-F68B993B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825" y="13372042"/>
          <a:ext cx="7160142" cy="339284"/>
        </a:xfrm>
        <a:prstGeom prst="rect">
          <a:avLst/>
        </a:prstGeom>
      </xdr:spPr>
    </xdr:pic>
    <xdr:clientData/>
  </xdr:twoCellAnchor>
  <xdr:twoCellAnchor>
    <xdr:from>
      <xdr:col>1</xdr:col>
      <xdr:colOff>1447046</xdr:colOff>
      <xdr:row>70</xdr:row>
      <xdr:rowOff>178980</xdr:rowOff>
    </xdr:from>
    <xdr:to>
      <xdr:col>1</xdr:col>
      <xdr:colOff>3275492</xdr:colOff>
      <xdr:row>72</xdr:row>
      <xdr:rowOff>79197</xdr:rowOff>
    </xdr:to>
    <xdr:sp macro="" textlink="">
      <xdr:nvSpPr>
        <xdr:cNvPr id="57" name="Suorakulmio 56">
          <a:extLst>
            <a:ext uri="{FF2B5EF4-FFF2-40B4-BE49-F238E27FC236}">
              <a16:creationId xmlns:a16="http://schemas.microsoft.com/office/drawing/2014/main" id="{1D727BBB-3560-4E9D-A501-A71B2530EC0D}"/>
            </a:ext>
          </a:extLst>
        </xdr:cNvPr>
        <xdr:cNvSpPr/>
      </xdr:nvSpPr>
      <xdr:spPr>
        <a:xfrm>
          <a:off x="1554996" y="13418730"/>
          <a:ext cx="1828446" cy="26851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1</xdr:col>
      <xdr:colOff>124602</xdr:colOff>
      <xdr:row>129</xdr:row>
      <xdr:rowOff>58187</xdr:rowOff>
    </xdr:from>
    <xdr:ext cx="9228624" cy="1125693"/>
    <xdr:sp macro="" textlink="">
      <xdr:nvSpPr>
        <xdr:cNvPr id="58" name="Tekstiruutu 57">
          <a:extLst>
            <a:ext uri="{FF2B5EF4-FFF2-40B4-BE49-F238E27FC236}">
              <a16:creationId xmlns:a16="http://schemas.microsoft.com/office/drawing/2014/main" id="{722AE9D9-2975-4E13-A95D-8FE06169B44E}"/>
            </a:ext>
          </a:extLst>
        </xdr:cNvPr>
        <xdr:cNvSpPr txBox="1"/>
      </xdr:nvSpPr>
      <xdr:spPr>
        <a:xfrm>
          <a:off x="229377" y="23984987"/>
          <a:ext cx="9228624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Koontilomakkeita</a:t>
          </a:r>
          <a:r>
            <a:rPr lang="fi-FI" sz="1100" baseline="0"/>
            <a:t> ovat: </a:t>
          </a:r>
        </a:p>
        <a:p>
          <a:r>
            <a:rPr lang="fi-FI" sz="1100" b="1" baseline="0"/>
            <a:t>- Kustannusarvion koonti</a:t>
          </a:r>
        </a:p>
        <a:p>
          <a:r>
            <a:rPr lang="fi-FI" sz="1100" b="1" baseline="0"/>
            <a:t>- Talkootyön koonti</a:t>
          </a:r>
        </a:p>
        <a:p>
          <a:r>
            <a:rPr lang="fi-FI" sz="1100" b="1" baseline="0"/>
            <a:t>- Rakennusselostus koonti</a:t>
          </a:r>
        </a:p>
        <a:p>
          <a:endParaRPr lang="fi-FI" sz="1100" baseline="0"/>
        </a:p>
        <a:p>
          <a:r>
            <a:rPr lang="fi-FI" sz="1100"/>
            <a:t>Koontilomakkeisiin siirtyy tiedot </a:t>
          </a:r>
          <a:r>
            <a:rPr lang="fi-FI" sz="1100" b="1"/>
            <a:t>Hankkeen tiedot </a:t>
          </a:r>
          <a:r>
            <a:rPr lang="fi-FI" sz="1100" b="0"/>
            <a:t>välilehdeltä</a:t>
          </a:r>
          <a:r>
            <a:rPr lang="fi-FI" sz="1100" b="1"/>
            <a:t> </a:t>
          </a:r>
          <a:r>
            <a:rPr lang="fi-FI" sz="1100" b="0"/>
            <a:t>ja </a:t>
          </a:r>
          <a:r>
            <a:rPr lang="fi-FI" sz="1100"/>
            <a:t>koontilomakkeita ei voi muokata.</a:t>
          </a:r>
        </a:p>
      </xdr:txBody>
    </xdr:sp>
    <xdr:clientData/>
  </xdr:oneCellAnchor>
  <xdr:twoCellAnchor>
    <xdr:from>
      <xdr:col>5</xdr:col>
      <xdr:colOff>184150</xdr:colOff>
      <xdr:row>3</xdr:row>
      <xdr:rowOff>0</xdr:rowOff>
    </xdr:from>
    <xdr:to>
      <xdr:col>5</xdr:col>
      <xdr:colOff>2892424</xdr:colOff>
      <xdr:row>5</xdr:row>
      <xdr:rowOff>182224</xdr:rowOff>
    </xdr:to>
    <xdr:sp macro="" textlink="">
      <xdr:nvSpPr>
        <xdr:cNvPr id="59" name="Tekstiruutu 5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68B5CCF-A7EB-431A-8D4C-571CA0511D2B}"/>
            </a:ext>
          </a:extLst>
        </xdr:cNvPr>
        <xdr:cNvSpPr txBox="1"/>
      </xdr:nvSpPr>
      <xdr:spPr>
        <a:xfrm>
          <a:off x="10871200" y="704850"/>
          <a:ext cx="2708274" cy="563224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video, miten taulukko täytetään: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&gt;&gt; Linkki videoon</a:t>
          </a:r>
        </a:p>
      </xdr:txBody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1707066</xdr:colOff>
      <xdr:row>117</xdr:row>
      <xdr:rowOff>101600</xdr:rowOff>
    </xdr:to>
    <xdr:pic>
      <xdr:nvPicPr>
        <xdr:cNvPr id="60" name="Kuva 59">
          <a:extLst>
            <a:ext uri="{FF2B5EF4-FFF2-40B4-BE49-F238E27FC236}">
              <a16:creationId xmlns:a16="http://schemas.microsoft.com/office/drawing/2014/main" id="{6BBFB592-65C7-4D3F-937B-99B77832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7950" y="18764250"/>
          <a:ext cx="8625391" cy="317817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901700</xdr:colOff>
      <xdr:row>52</xdr:row>
      <xdr:rowOff>15875</xdr:rowOff>
    </xdr:from>
    <xdr:to>
      <xdr:col>1</xdr:col>
      <xdr:colOff>2168525</xdr:colOff>
      <xdr:row>56</xdr:row>
      <xdr:rowOff>149225</xdr:rowOff>
    </xdr:to>
    <xdr:sp macro="" textlink="">
      <xdr:nvSpPr>
        <xdr:cNvPr id="61" name="Ellipsi 60">
          <a:extLst>
            <a:ext uri="{FF2B5EF4-FFF2-40B4-BE49-F238E27FC236}">
              <a16:creationId xmlns:a16="http://schemas.microsoft.com/office/drawing/2014/main" id="{CB262562-F1B9-4B19-9DDC-D97798FD62CF}"/>
            </a:ext>
          </a:extLst>
        </xdr:cNvPr>
        <xdr:cNvSpPr/>
      </xdr:nvSpPr>
      <xdr:spPr>
        <a:xfrm>
          <a:off x="1009650" y="9928225"/>
          <a:ext cx="1266825" cy="869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1980293</xdr:colOff>
      <xdr:row>48</xdr:row>
      <xdr:rowOff>34925</xdr:rowOff>
    </xdr:from>
    <xdr:to>
      <xdr:col>2</xdr:col>
      <xdr:colOff>1892300</xdr:colOff>
      <xdr:row>52</xdr:row>
      <xdr:rowOff>145056</xdr:rowOff>
    </xdr:to>
    <xdr:cxnSp macro="">
      <xdr:nvCxnSpPr>
        <xdr:cNvPr id="62" name="Suora nuoliyhdysviiva 61">
          <a:extLst>
            <a:ext uri="{FF2B5EF4-FFF2-40B4-BE49-F238E27FC236}">
              <a16:creationId xmlns:a16="http://schemas.microsoft.com/office/drawing/2014/main" id="{9337B784-AC25-4591-B46F-42F20F1B9AB4}"/>
            </a:ext>
          </a:extLst>
        </xdr:cNvPr>
        <xdr:cNvCxnSpPr>
          <a:stCxn id="61" idx="7"/>
        </xdr:cNvCxnSpPr>
      </xdr:nvCxnSpPr>
      <xdr:spPr>
        <a:xfrm flipV="1">
          <a:off x="2088243" y="9210675"/>
          <a:ext cx="4763407" cy="8467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1749619</xdr:colOff>
      <xdr:row>49</xdr:row>
      <xdr:rowOff>134904</xdr:rowOff>
    </xdr:from>
    <xdr:to>
      <xdr:col>2</xdr:col>
      <xdr:colOff>1895669</xdr:colOff>
      <xdr:row>52</xdr:row>
      <xdr:rowOff>32786</xdr:rowOff>
    </xdr:to>
    <xdr:cxnSp macro="">
      <xdr:nvCxnSpPr>
        <xdr:cNvPr id="63" name="Suora nuoliyhdysviiva 62">
          <a:extLst>
            <a:ext uri="{FF2B5EF4-FFF2-40B4-BE49-F238E27FC236}">
              <a16:creationId xmlns:a16="http://schemas.microsoft.com/office/drawing/2014/main" id="{03FC50D8-2FEB-4450-8877-06064D71B2AF}"/>
            </a:ext>
          </a:extLst>
        </xdr:cNvPr>
        <xdr:cNvCxnSpPr>
          <a:stCxn id="66" idx="0"/>
        </xdr:cNvCxnSpPr>
      </xdr:nvCxnSpPr>
      <xdr:spPr>
        <a:xfrm flipV="1">
          <a:off x="6706507" y="9523833"/>
          <a:ext cx="146050" cy="4518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1770195</xdr:colOff>
      <xdr:row>49</xdr:row>
      <xdr:rowOff>0</xdr:rowOff>
    </xdr:from>
    <xdr:to>
      <xdr:col>2</xdr:col>
      <xdr:colOff>1914525</xdr:colOff>
      <xdr:row>58</xdr:row>
      <xdr:rowOff>66611</xdr:rowOff>
    </xdr:to>
    <xdr:cxnSp macro="">
      <xdr:nvCxnSpPr>
        <xdr:cNvPr id="64" name="Suora nuoliyhdysviiva 63">
          <a:extLst>
            <a:ext uri="{FF2B5EF4-FFF2-40B4-BE49-F238E27FC236}">
              <a16:creationId xmlns:a16="http://schemas.microsoft.com/office/drawing/2014/main" id="{53BD2DFD-91AE-41D5-AC5B-76C8E74FD43B}"/>
            </a:ext>
          </a:extLst>
        </xdr:cNvPr>
        <xdr:cNvCxnSpPr>
          <a:stCxn id="67" idx="7"/>
        </xdr:cNvCxnSpPr>
      </xdr:nvCxnSpPr>
      <xdr:spPr>
        <a:xfrm flipV="1">
          <a:off x="1878145" y="9359900"/>
          <a:ext cx="4995730" cy="17239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657548</xdr:colOff>
      <xdr:row>181</xdr:row>
      <xdr:rowOff>46846</xdr:rowOff>
    </xdr:from>
    <xdr:to>
      <xdr:col>5</xdr:col>
      <xdr:colOff>380546</xdr:colOff>
      <xdr:row>201</xdr:row>
      <xdr:rowOff>121405</xdr:rowOff>
    </xdr:to>
    <xdr:pic>
      <xdr:nvPicPr>
        <xdr:cNvPr id="65" name="Kuva 64">
          <a:extLst>
            <a:ext uri="{FF2B5EF4-FFF2-40B4-BE49-F238E27FC236}">
              <a16:creationId xmlns:a16="http://schemas.microsoft.com/office/drawing/2014/main" id="{27E43A99-8F8C-4E36-A240-05B8D101C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4385" y="35979423"/>
          <a:ext cx="3367768" cy="5815347"/>
        </a:xfrm>
        <a:prstGeom prst="rect">
          <a:avLst/>
        </a:prstGeom>
      </xdr:spPr>
    </xdr:pic>
    <xdr:clientData/>
  </xdr:twoCellAnchor>
  <xdr:twoCellAnchor>
    <xdr:from>
      <xdr:col>2</xdr:col>
      <xdr:colOff>1267019</xdr:colOff>
      <xdr:row>52</xdr:row>
      <xdr:rowOff>35961</xdr:rowOff>
    </xdr:from>
    <xdr:to>
      <xdr:col>3</xdr:col>
      <xdr:colOff>162119</xdr:colOff>
      <xdr:row>55</xdr:row>
      <xdr:rowOff>169829</xdr:rowOff>
    </xdr:to>
    <xdr:sp macro="" textlink="">
      <xdr:nvSpPr>
        <xdr:cNvPr id="66" name="Ellipsi 65">
          <a:extLst>
            <a:ext uri="{FF2B5EF4-FFF2-40B4-BE49-F238E27FC236}">
              <a16:creationId xmlns:a16="http://schemas.microsoft.com/office/drawing/2014/main" id="{68606DA5-855C-4635-8CB8-9352B93649C6}"/>
            </a:ext>
          </a:extLst>
        </xdr:cNvPr>
        <xdr:cNvSpPr/>
      </xdr:nvSpPr>
      <xdr:spPr>
        <a:xfrm>
          <a:off x="6223907" y="9978895"/>
          <a:ext cx="975049" cy="68787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19049</xdr:colOff>
      <xdr:row>57</xdr:row>
      <xdr:rowOff>123825</xdr:rowOff>
    </xdr:from>
    <xdr:to>
      <xdr:col>1</xdr:col>
      <xdr:colOff>2066924</xdr:colOff>
      <xdr:row>62</xdr:row>
      <xdr:rowOff>85725</xdr:rowOff>
    </xdr:to>
    <xdr:sp macro="" textlink="">
      <xdr:nvSpPr>
        <xdr:cNvPr id="67" name="Ellipsi 66">
          <a:extLst>
            <a:ext uri="{FF2B5EF4-FFF2-40B4-BE49-F238E27FC236}">
              <a16:creationId xmlns:a16="http://schemas.microsoft.com/office/drawing/2014/main" id="{F7038F97-A227-46D0-978C-EAC03A5AED7D}"/>
            </a:ext>
          </a:extLst>
        </xdr:cNvPr>
        <xdr:cNvSpPr/>
      </xdr:nvSpPr>
      <xdr:spPr>
        <a:xfrm>
          <a:off x="126999" y="10956925"/>
          <a:ext cx="2047875" cy="882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2</xdr:col>
      <xdr:colOff>2000250</xdr:colOff>
      <xdr:row>47</xdr:row>
      <xdr:rowOff>139700</xdr:rowOff>
    </xdr:from>
    <xdr:ext cx="3863943" cy="452432"/>
    <xdr:sp macro="" textlink="">
      <xdr:nvSpPr>
        <xdr:cNvPr id="68" name="Tekstiruutu 67">
          <a:extLst>
            <a:ext uri="{FF2B5EF4-FFF2-40B4-BE49-F238E27FC236}">
              <a16:creationId xmlns:a16="http://schemas.microsoft.com/office/drawing/2014/main" id="{D4B8D613-5C33-4ABF-8CFF-A77D2531DD83}"/>
            </a:ext>
          </a:extLst>
        </xdr:cNvPr>
        <xdr:cNvSpPr txBox="1"/>
      </xdr:nvSpPr>
      <xdr:spPr>
        <a:xfrm>
          <a:off x="6957138" y="9159292"/>
          <a:ext cx="3863943" cy="45243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Jos sinulta puuttuu tietoja, kuten rakennusselostus tai  ALV tieto,</a:t>
          </a:r>
        </a:p>
        <a:p>
          <a:r>
            <a:rPr lang="fi-FI" sz="1200">
              <a:solidFill>
                <a:srgbClr val="FF0000"/>
              </a:solidFill>
            </a:rPr>
            <a:t>tulee punainen huomautusteksti asiasiasta</a:t>
          </a:r>
        </a:p>
      </xdr:txBody>
    </xdr:sp>
    <xdr:clientData/>
  </xdr:oneCellAnchor>
  <xdr:twoCellAnchor>
    <xdr:from>
      <xdr:col>1</xdr:col>
      <xdr:colOff>160765</xdr:colOff>
      <xdr:row>178</xdr:row>
      <xdr:rowOff>37011</xdr:rowOff>
    </xdr:from>
    <xdr:to>
      <xdr:col>6</xdr:col>
      <xdr:colOff>25983</xdr:colOff>
      <xdr:row>179</xdr:row>
      <xdr:rowOff>233266</xdr:rowOff>
    </xdr:to>
    <xdr:sp macro="" textlink="">
      <xdr:nvSpPr>
        <xdr:cNvPr id="69" name="Tekstiruutu 68">
          <a:extLst>
            <a:ext uri="{FF2B5EF4-FFF2-40B4-BE49-F238E27FC236}">
              <a16:creationId xmlns:a16="http://schemas.microsoft.com/office/drawing/2014/main" id="{86A9DB91-9105-41D6-B559-9B7FFB409810}"/>
            </a:ext>
          </a:extLst>
        </xdr:cNvPr>
        <xdr:cNvSpPr txBox="1"/>
      </xdr:nvSpPr>
      <xdr:spPr>
        <a:xfrm>
          <a:off x="267678" y="35357266"/>
          <a:ext cx="13462642" cy="380923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koontilomakkeiden .pdf-tiedoston luomiseen</a:t>
          </a:r>
          <a:endParaRPr lang="fi-FI" sz="1600"/>
        </a:p>
      </xdr:txBody>
    </xdr:sp>
    <xdr:clientData/>
  </xdr:twoCellAnchor>
  <xdr:twoCellAnchor editAs="oneCell">
    <xdr:from>
      <xdr:col>3</xdr:col>
      <xdr:colOff>505408</xdr:colOff>
      <xdr:row>139</xdr:row>
      <xdr:rowOff>217003</xdr:rowOff>
    </xdr:from>
    <xdr:to>
      <xdr:col>7</xdr:col>
      <xdr:colOff>427653</xdr:colOff>
      <xdr:row>154</xdr:row>
      <xdr:rowOff>27649</xdr:rowOff>
    </xdr:to>
    <xdr:pic>
      <xdr:nvPicPr>
        <xdr:cNvPr id="73" name="Kuva 72">
          <a:extLst>
            <a:ext uri="{FF2B5EF4-FFF2-40B4-BE49-F238E27FC236}">
              <a16:creationId xmlns:a16="http://schemas.microsoft.com/office/drawing/2014/main" id="{6DFEC351-4C30-E8E7-858D-79A4C2432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42245" y="26537105"/>
          <a:ext cx="6696658" cy="263898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65215</xdr:colOff>
      <xdr:row>183</xdr:row>
      <xdr:rowOff>18868</xdr:rowOff>
    </xdr:from>
    <xdr:to>
      <xdr:col>2</xdr:col>
      <xdr:colOff>1954970</xdr:colOff>
      <xdr:row>194</xdr:row>
      <xdr:rowOff>257175</xdr:rowOff>
    </xdr:to>
    <xdr:sp macro="" textlink="">
      <xdr:nvSpPr>
        <xdr:cNvPr id="75" name="Tekstiruutu 74">
          <a:extLst>
            <a:ext uri="{FF2B5EF4-FFF2-40B4-BE49-F238E27FC236}">
              <a16:creationId xmlns:a16="http://schemas.microsoft.com/office/drawing/2014/main" id="{4F80F65E-AB5A-42C2-9804-B49F1506F0EE}"/>
            </a:ext>
          </a:extLst>
        </xdr:cNvPr>
        <xdr:cNvSpPr txBox="1"/>
      </xdr:nvSpPr>
      <xdr:spPr>
        <a:xfrm>
          <a:off x="169990" y="35842393"/>
          <a:ext cx="6737980" cy="3600632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Koontilomakkeet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</a:p>
        <a:p>
          <a:endParaRPr lang="fi-FI" sz="1100" i="0" baseline="0"/>
        </a:p>
        <a:p>
          <a:r>
            <a:rPr lang="fi-FI" sz="1100" i="0" baseline="0"/>
            <a:t>Tallennusohje pdf tiedostoksi löytyy myös koontilomakkeista</a:t>
          </a:r>
          <a:endParaRPr lang="fi-FI" sz="1100" i="0"/>
        </a:p>
      </xdr:txBody>
    </xdr:sp>
    <xdr:clientData/>
  </xdr:twoCellAnchor>
  <xdr:twoCellAnchor>
    <xdr:from>
      <xdr:col>1</xdr:col>
      <xdr:colOff>3344125</xdr:colOff>
      <xdr:row>125</xdr:row>
      <xdr:rowOff>2025</xdr:rowOff>
    </xdr:from>
    <xdr:to>
      <xdr:col>3</xdr:col>
      <xdr:colOff>466530</xdr:colOff>
      <xdr:row>126</xdr:row>
      <xdr:rowOff>142377</xdr:rowOff>
    </xdr:to>
    <xdr:sp macro="" textlink="">
      <xdr:nvSpPr>
        <xdr:cNvPr id="76" name="Suorakulmio 75">
          <a:extLst>
            <a:ext uri="{FF2B5EF4-FFF2-40B4-BE49-F238E27FC236}">
              <a16:creationId xmlns:a16="http://schemas.microsoft.com/office/drawing/2014/main" id="{B638AF6A-6903-4267-B478-54BF9EE7F4F2}"/>
            </a:ext>
          </a:extLst>
        </xdr:cNvPr>
        <xdr:cNvSpPr/>
      </xdr:nvSpPr>
      <xdr:spPr>
        <a:xfrm>
          <a:off x="3451038" y="23649295"/>
          <a:ext cx="4052329" cy="32502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2409481</xdr:colOff>
      <xdr:row>36</xdr:row>
      <xdr:rowOff>4708</xdr:rowOff>
    </xdr:from>
    <xdr:to>
      <xdr:col>1</xdr:col>
      <xdr:colOff>4746237</xdr:colOff>
      <xdr:row>38</xdr:row>
      <xdr:rowOff>104709</xdr:rowOff>
    </xdr:to>
    <xdr:sp macro="" textlink="">
      <xdr:nvSpPr>
        <xdr:cNvPr id="77" name="Tekstiruutu 76">
          <a:extLst>
            <a:ext uri="{FF2B5EF4-FFF2-40B4-BE49-F238E27FC236}">
              <a16:creationId xmlns:a16="http://schemas.microsoft.com/office/drawing/2014/main" id="{C5D94214-66E4-4A1B-BFC5-43863BC76B82}"/>
            </a:ext>
          </a:extLst>
        </xdr:cNvPr>
        <xdr:cNvSpPr txBox="1"/>
      </xdr:nvSpPr>
      <xdr:spPr>
        <a:xfrm>
          <a:off x="2516394" y="6992948"/>
          <a:ext cx="2336756" cy="469338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i-FI" sz="1600" b="1">
              <a:solidFill>
                <a:schemeClr val="bg1"/>
              </a:solidFill>
            </a:rPr>
            <a:t>1</a:t>
          </a:r>
          <a:r>
            <a:rPr lang="fi-FI" sz="1600">
              <a:solidFill>
                <a:schemeClr val="bg1"/>
              </a:solidFill>
            </a:rPr>
            <a:t>. Hankkeen yleistiedot</a:t>
          </a:r>
          <a:r>
            <a:rPr lang="fi-FI" sz="1600" b="1">
              <a:solidFill>
                <a:schemeClr val="bg1"/>
              </a:solidFill>
            </a:rPr>
            <a:t>.      </a:t>
          </a:r>
        </a:p>
      </xdr:txBody>
    </xdr:sp>
    <xdr:clientData/>
  </xdr:twoCellAnchor>
  <xdr:twoCellAnchor>
    <xdr:from>
      <xdr:col>1</xdr:col>
      <xdr:colOff>1760050</xdr:colOff>
      <xdr:row>117</xdr:row>
      <xdr:rowOff>73613</xdr:rowOff>
    </xdr:from>
    <xdr:to>
      <xdr:col>1</xdr:col>
      <xdr:colOff>3924859</xdr:colOff>
      <xdr:row>119</xdr:row>
      <xdr:rowOff>22062</xdr:rowOff>
    </xdr:to>
    <xdr:sp macro="" textlink="">
      <xdr:nvSpPr>
        <xdr:cNvPr id="45" name="Suorakulmio 44">
          <a:extLst>
            <a:ext uri="{FF2B5EF4-FFF2-40B4-BE49-F238E27FC236}">
              <a16:creationId xmlns:a16="http://schemas.microsoft.com/office/drawing/2014/main" id="{296EA541-B785-4661-B50E-BF7AF31235BC}"/>
            </a:ext>
          </a:extLst>
        </xdr:cNvPr>
        <xdr:cNvSpPr/>
      </xdr:nvSpPr>
      <xdr:spPr>
        <a:xfrm>
          <a:off x="1868000" y="21968413"/>
          <a:ext cx="2164809" cy="3167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145239</xdr:colOff>
      <xdr:row>180</xdr:row>
      <xdr:rowOff>172167</xdr:rowOff>
    </xdr:from>
    <xdr:to>
      <xdr:col>1</xdr:col>
      <xdr:colOff>4808240</xdr:colOff>
      <xdr:row>182</xdr:row>
      <xdr:rowOff>174624</xdr:rowOff>
    </xdr:to>
    <xdr:pic>
      <xdr:nvPicPr>
        <xdr:cNvPr id="79" name="Kuva 78">
          <a:extLst>
            <a:ext uri="{FF2B5EF4-FFF2-40B4-BE49-F238E27FC236}">
              <a16:creationId xmlns:a16="http://schemas.microsoft.com/office/drawing/2014/main" id="{AA3B8216-87F1-4AEF-8925-1014592D4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45163"/>
        <a:stretch/>
      </xdr:blipFill>
      <xdr:spPr>
        <a:xfrm>
          <a:off x="250014" y="35300367"/>
          <a:ext cx="4663001" cy="3644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275188</xdr:colOff>
      <xdr:row>2</xdr:row>
      <xdr:rowOff>89958</xdr:rowOff>
    </xdr:from>
    <xdr:to>
      <xdr:col>18</xdr:col>
      <xdr:colOff>18215</xdr:colOff>
      <xdr:row>3</xdr:row>
      <xdr:rowOff>143008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9163" y="270933"/>
          <a:ext cx="2476702" cy="338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2259</xdr:colOff>
      <xdr:row>3</xdr:row>
      <xdr:rowOff>38099</xdr:rowOff>
    </xdr:from>
    <xdr:to>
      <xdr:col>3</xdr:col>
      <xdr:colOff>7182</xdr:colOff>
      <xdr:row>4</xdr:row>
      <xdr:rowOff>373422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20"/>
        <a:stretch/>
      </xdr:blipFill>
      <xdr:spPr>
        <a:xfrm>
          <a:off x="78459" y="504824"/>
          <a:ext cx="3233898" cy="621073"/>
        </a:xfrm>
        <a:prstGeom prst="rect">
          <a:avLst/>
        </a:prstGeom>
      </xdr:spPr>
    </xdr:pic>
    <xdr:clientData/>
  </xdr:twoCellAnchor>
  <xdr:twoCellAnchor editAs="oneCell">
    <xdr:from>
      <xdr:col>14</xdr:col>
      <xdr:colOff>79764</xdr:colOff>
      <xdr:row>2</xdr:row>
      <xdr:rowOff>45509</xdr:rowOff>
    </xdr:from>
    <xdr:to>
      <xdr:col>16</xdr:col>
      <xdr:colOff>141741</xdr:colOff>
      <xdr:row>3</xdr:row>
      <xdr:rowOff>169441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3564" y="226484"/>
          <a:ext cx="1462152" cy="409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9688</xdr:colOff>
      <xdr:row>2</xdr:row>
      <xdr:rowOff>87382</xdr:rowOff>
    </xdr:from>
    <xdr:to>
      <xdr:col>1</xdr:col>
      <xdr:colOff>3236769</xdr:colOff>
      <xdr:row>9</xdr:row>
      <xdr:rowOff>125895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13" y="420757"/>
          <a:ext cx="3369956" cy="1210088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1</xdr:row>
      <xdr:rowOff>9525</xdr:rowOff>
    </xdr:from>
    <xdr:to>
      <xdr:col>8</xdr:col>
      <xdr:colOff>514415</xdr:colOff>
      <xdr:row>3</xdr:row>
      <xdr:rowOff>6373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32AD271B-1429-37E5-C83C-E264D1556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76200"/>
          <a:ext cx="1266890" cy="447698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</xdr:row>
      <xdr:rowOff>87957</xdr:rowOff>
    </xdr:from>
    <xdr:to>
      <xdr:col>9</xdr:col>
      <xdr:colOff>511175</xdr:colOff>
      <xdr:row>5</xdr:row>
      <xdr:rowOff>635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D576A3CE-2E73-5973-8984-63FA62615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602307"/>
          <a:ext cx="1882775" cy="271453"/>
        </a:xfrm>
        <a:prstGeom prst="rect">
          <a:avLst/>
        </a:prstGeom>
      </xdr:spPr>
    </xdr:pic>
    <xdr:clientData/>
  </xdr:twoCellAnchor>
  <xdr:twoCellAnchor editAs="oneCell">
    <xdr:from>
      <xdr:col>12</xdr:col>
      <xdr:colOff>123825</xdr:colOff>
      <xdr:row>9</xdr:row>
      <xdr:rowOff>0</xdr:rowOff>
    </xdr:from>
    <xdr:to>
      <xdr:col>18</xdr:col>
      <xdr:colOff>606425</xdr:colOff>
      <xdr:row>43</xdr:row>
      <xdr:rowOff>840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ECE0104-71BD-4E14-A038-4AF1944F3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0" y="1619250"/>
          <a:ext cx="3844925" cy="6677865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5</xdr:row>
      <xdr:rowOff>396876</xdr:rowOff>
    </xdr:from>
    <xdr:to>
      <xdr:col>6</xdr:col>
      <xdr:colOff>4429125</xdr:colOff>
      <xdr:row>5</xdr:row>
      <xdr:rowOff>581025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6" y="1444626"/>
          <a:ext cx="3648074" cy="18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rgbClr val="FF0000"/>
              </a:solidFill>
              <a:latin typeface="+mn-lt"/>
              <a:ea typeface="Inter" panose="02000503000000020004" pitchFamily="2" charset="0"/>
            </a:rPr>
            <a:t>Jos teksti menee reunan yli, niin valitse ylävalikosta: Aloitus -&gt; Rivitä teksti</a:t>
          </a:r>
        </a:p>
      </xdr:txBody>
    </xdr:sp>
    <xdr:clientData/>
  </xdr:twoCellAnchor>
  <xdr:twoCellAnchor editAs="oneCell">
    <xdr:from>
      <xdr:col>8</xdr:col>
      <xdr:colOff>209550</xdr:colOff>
      <xdr:row>3</xdr:row>
      <xdr:rowOff>171450</xdr:rowOff>
    </xdr:from>
    <xdr:to>
      <xdr:col>14</xdr:col>
      <xdr:colOff>390525</xdr:colOff>
      <xdr:row>37</xdr:row>
      <xdr:rowOff>124665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212A74A7-DD61-42FE-9DCD-7ECFD7861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714375"/>
          <a:ext cx="3838575" cy="6677865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1391954</xdr:colOff>
      <xdr:row>12</xdr:row>
      <xdr:rowOff>143296</xdr:rowOff>
    </xdr:from>
    <xdr:to>
      <xdr:col>1</xdr:col>
      <xdr:colOff>3236738</xdr:colOff>
      <xdr:row>13</xdr:row>
      <xdr:rowOff>305492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154" y="2105446"/>
          <a:ext cx="1940034" cy="32412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12</xdr:row>
      <xdr:rowOff>85725</xdr:rowOff>
    </xdr:from>
    <xdr:to>
      <xdr:col>1</xdr:col>
      <xdr:colOff>1296813</xdr:colOff>
      <xdr:row>14</xdr:row>
      <xdr:rowOff>20490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47875"/>
          <a:ext cx="1211088" cy="430065"/>
        </a:xfrm>
        <a:prstGeom prst="rect">
          <a:avLst/>
        </a:prstGeom>
      </xdr:spPr>
    </xdr:pic>
    <xdr:clientData/>
  </xdr:twoCellAnchor>
  <xdr:twoCellAnchor>
    <xdr:from>
      <xdr:col>3</xdr:col>
      <xdr:colOff>4163702</xdr:colOff>
      <xdr:row>13</xdr:row>
      <xdr:rowOff>55904</xdr:rowOff>
    </xdr:from>
    <xdr:to>
      <xdr:col>3</xdr:col>
      <xdr:colOff>8154677</xdr:colOff>
      <xdr:row>13</xdr:row>
      <xdr:rowOff>284503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7E101432-55F7-C4ED-011A-B9FCC9712E62}"/>
            </a:ext>
          </a:extLst>
        </xdr:cNvPr>
        <xdr:cNvSpPr txBox="1"/>
      </xdr:nvSpPr>
      <xdr:spPr>
        <a:xfrm>
          <a:off x="8516716" y="2210156"/>
          <a:ext cx="39909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chemeClr val="bg1"/>
              </a:solidFill>
            </a:rPr>
            <a:t>Jos teksti menee solun reunan yli, niin valitse ylävalikosta: Aloitus -&gt; Rivitä teksti</a:t>
          </a:r>
        </a:p>
      </xdr:txBody>
    </xdr:sp>
    <xdr:clientData/>
  </xdr:twoCellAnchor>
  <xdr:twoCellAnchor editAs="oneCell">
    <xdr:from>
      <xdr:col>5</xdr:col>
      <xdr:colOff>133350</xdr:colOff>
      <xdr:row>15</xdr:row>
      <xdr:rowOff>57150</xdr:rowOff>
    </xdr:from>
    <xdr:to>
      <xdr:col>11</xdr:col>
      <xdr:colOff>161925</xdr:colOff>
      <xdr:row>52</xdr:row>
      <xdr:rowOff>35765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D4E92B5-2F65-47D0-A0BD-61C627A73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0" y="2619375"/>
          <a:ext cx="3838575" cy="6674690"/>
        </a:xfrm>
        <a:prstGeom prst="rect">
          <a:avLst/>
        </a:prstGeom>
      </xdr:spPr>
    </xdr:pic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7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2B24-C650-49AF-929A-5CCDFAAC31AE}">
  <sheetPr>
    <tabColor rgb="FFFF0000"/>
  </sheetPr>
  <dimension ref="A1:O276"/>
  <sheetViews>
    <sheetView showGridLines="0" zoomScaleNormal="100" workbookViewId="0">
      <selection activeCell="F129" sqref="F129"/>
    </sheetView>
  </sheetViews>
  <sheetFormatPr defaultRowHeight="14.5" x14ac:dyDescent="0.35"/>
  <cols>
    <col min="1" max="1" width="1.54296875" customWidth="1"/>
    <col min="2" max="2" width="69.453125" customWidth="1"/>
    <col min="3" max="3" width="29.7265625" customWidth="1"/>
    <col min="4" max="4" width="34.54296875" customWidth="1"/>
    <col min="5" max="5" width="17.7265625" customWidth="1"/>
    <col min="6" max="6" width="43.1796875" customWidth="1"/>
    <col min="7" max="7" width="1.54296875" customWidth="1"/>
  </cols>
  <sheetData>
    <row r="1" spans="2:8" ht="26.5" thickBot="1" x14ac:dyDescent="0.4">
      <c r="B1" s="327" t="s">
        <v>218</v>
      </c>
      <c r="H1" s="12"/>
    </row>
    <row r="2" spans="2:8" x14ac:dyDescent="0.35">
      <c r="H2" s="12"/>
    </row>
    <row r="3" spans="2:8" x14ac:dyDescent="0.35">
      <c r="H3" s="12"/>
    </row>
    <row r="4" spans="2:8" x14ac:dyDescent="0.35">
      <c r="H4" s="12"/>
    </row>
    <row r="5" spans="2:8" ht="15.5" x14ac:dyDescent="0.35">
      <c r="B5" s="108" t="s">
        <v>221</v>
      </c>
      <c r="H5" s="12"/>
    </row>
    <row r="6" spans="2:8" x14ac:dyDescent="0.35">
      <c r="H6" s="12"/>
    </row>
    <row r="7" spans="2:8" ht="15.5" x14ac:dyDescent="0.35">
      <c r="B7" s="96"/>
      <c r="H7" s="12"/>
    </row>
    <row r="8" spans="2:8" x14ac:dyDescent="0.35">
      <c r="H8" s="12"/>
    </row>
    <row r="9" spans="2:8" x14ac:dyDescent="0.35">
      <c r="H9" s="12"/>
    </row>
    <row r="10" spans="2:8" x14ac:dyDescent="0.35">
      <c r="H10" s="12"/>
    </row>
    <row r="11" spans="2:8" x14ac:dyDescent="0.35">
      <c r="H11" s="12"/>
    </row>
    <row r="12" spans="2:8" x14ac:dyDescent="0.35">
      <c r="H12" s="12"/>
    </row>
    <row r="13" spans="2:8" x14ac:dyDescent="0.35">
      <c r="H13" s="12"/>
    </row>
    <row r="14" spans="2:8" x14ac:dyDescent="0.35">
      <c r="H14" s="12"/>
    </row>
    <row r="15" spans="2:8" x14ac:dyDescent="0.35">
      <c r="H15" s="12"/>
    </row>
    <row r="16" spans="2:8" x14ac:dyDescent="0.35">
      <c r="H16" s="12"/>
    </row>
    <row r="17" spans="2:8" x14ac:dyDescent="0.35">
      <c r="H17" s="12"/>
    </row>
    <row r="18" spans="2:8" x14ac:dyDescent="0.35">
      <c r="H18" s="12"/>
    </row>
    <row r="19" spans="2:8" x14ac:dyDescent="0.35">
      <c r="H19" s="12"/>
    </row>
    <row r="20" spans="2:8" x14ac:dyDescent="0.35">
      <c r="H20" s="12"/>
    </row>
    <row r="21" spans="2:8" x14ac:dyDescent="0.35">
      <c r="H21" s="12"/>
    </row>
    <row r="22" spans="2:8" x14ac:dyDescent="0.35">
      <c r="H22" s="12"/>
    </row>
    <row r="23" spans="2:8" x14ac:dyDescent="0.35">
      <c r="H23" s="12"/>
    </row>
    <row r="24" spans="2:8" ht="15" thickBot="1" x14ac:dyDescent="0.4">
      <c r="H24" s="12"/>
    </row>
    <row r="25" spans="2:8" ht="26.5" thickBot="1" x14ac:dyDescent="0.4">
      <c r="B25" s="327" t="s">
        <v>219</v>
      </c>
      <c r="C25" s="133"/>
      <c r="D25" s="133"/>
      <c r="E25" s="133"/>
      <c r="F25" s="133"/>
      <c r="G25" s="133"/>
      <c r="H25" s="98"/>
    </row>
    <row r="26" spans="2:8" x14ac:dyDescent="0.35">
      <c r="H26" s="12"/>
    </row>
    <row r="27" spans="2:8" x14ac:dyDescent="0.35">
      <c r="H27" s="12"/>
    </row>
    <row r="28" spans="2:8" x14ac:dyDescent="0.35">
      <c r="H28" s="12"/>
    </row>
    <row r="29" spans="2:8" x14ac:dyDescent="0.35">
      <c r="H29" s="12"/>
    </row>
    <row r="30" spans="2:8" x14ac:dyDescent="0.35">
      <c r="H30" s="12"/>
    </row>
    <row r="31" spans="2:8" x14ac:dyDescent="0.35">
      <c r="H31" s="12"/>
    </row>
    <row r="32" spans="2:8" x14ac:dyDescent="0.35">
      <c r="H32" s="12"/>
    </row>
    <row r="33" spans="8:8" x14ac:dyDescent="0.35">
      <c r="H33" s="12"/>
    </row>
    <row r="34" spans="8:8" x14ac:dyDescent="0.35">
      <c r="H34" s="12"/>
    </row>
    <row r="35" spans="8:8" x14ac:dyDescent="0.35">
      <c r="H35" s="12"/>
    </row>
    <row r="36" spans="8:8" x14ac:dyDescent="0.35">
      <c r="H36" s="12"/>
    </row>
    <row r="37" spans="8:8" x14ac:dyDescent="0.35">
      <c r="H37" s="12"/>
    </row>
    <row r="38" spans="8:8" x14ac:dyDescent="0.35">
      <c r="H38" s="12"/>
    </row>
    <row r="39" spans="8:8" x14ac:dyDescent="0.35">
      <c r="H39" s="12"/>
    </row>
    <row r="40" spans="8:8" x14ac:dyDescent="0.35">
      <c r="H40" s="12"/>
    </row>
    <row r="41" spans="8:8" x14ac:dyDescent="0.35">
      <c r="H41" s="12"/>
    </row>
    <row r="42" spans="8:8" x14ac:dyDescent="0.35">
      <c r="H42" s="12"/>
    </row>
    <row r="43" spans="8:8" x14ac:dyDescent="0.35">
      <c r="H43" s="12"/>
    </row>
    <row r="44" spans="8:8" x14ac:dyDescent="0.35">
      <c r="H44" s="12"/>
    </row>
    <row r="45" spans="8:8" x14ac:dyDescent="0.35">
      <c r="H45" s="12"/>
    </row>
    <row r="46" spans="8:8" x14ac:dyDescent="0.35">
      <c r="H46" s="12"/>
    </row>
    <row r="47" spans="8:8" x14ac:dyDescent="0.35">
      <c r="H47" s="12"/>
    </row>
    <row r="48" spans="8:8" x14ac:dyDescent="0.35">
      <c r="H48" s="12"/>
    </row>
    <row r="49" spans="2:8" x14ac:dyDescent="0.35">
      <c r="H49" s="12"/>
    </row>
    <row r="50" spans="2:8" x14ac:dyDescent="0.35">
      <c r="H50" s="12"/>
    </row>
    <row r="51" spans="2:8" x14ac:dyDescent="0.35">
      <c r="H51" s="12"/>
    </row>
    <row r="52" spans="2:8" x14ac:dyDescent="0.35">
      <c r="B52" s="97" t="s">
        <v>208</v>
      </c>
      <c r="H52" s="12"/>
    </row>
    <row r="53" spans="2:8" x14ac:dyDescent="0.35">
      <c r="H53" s="12"/>
    </row>
    <row r="54" spans="2:8" x14ac:dyDescent="0.35">
      <c r="H54" s="12"/>
    </row>
    <row r="55" spans="2:8" x14ac:dyDescent="0.35">
      <c r="H55" s="12"/>
    </row>
    <row r="56" spans="2:8" x14ac:dyDescent="0.35">
      <c r="H56" s="12"/>
    </row>
    <row r="57" spans="2:8" x14ac:dyDescent="0.35">
      <c r="H57" s="12"/>
    </row>
    <row r="58" spans="2:8" x14ac:dyDescent="0.35">
      <c r="H58" s="12"/>
    </row>
    <row r="59" spans="2:8" x14ac:dyDescent="0.35">
      <c r="H59" s="12"/>
    </row>
    <row r="60" spans="2:8" x14ac:dyDescent="0.35">
      <c r="H60" s="12"/>
    </row>
    <row r="61" spans="2:8" x14ac:dyDescent="0.35">
      <c r="H61" s="12"/>
    </row>
    <row r="62" spans="2:8" x14ac:dyDescent="0.35">
      <c r="H62" s="12"/>
    </row>
    <row r="63" spans="2:8" x14ac:dyDescent="0.35">
      <c r="H63" s="12"/>
    </row>
    <row r="64" spans="2:8" x14ac:dyDescent="0.35">
      <c r="H64" s="12"/>
    </row>
    <row r="65" spans="2:8" ht="15.5" x14ac:dyDescent="0.35">
      <c r="B65" s="99"/>
      <c r="H65" s="12"/>
    </row>
    <row r="66" spans="2:8" x14ac:dyDescent="0.35">
      <c r="H66" s="12"/>
    </row>
    <row r="67" spans="2:8" x14ac:dyDescent="0.35">
      <c r="H67" s="12"/>
    </row>
    <row r="68" spans="2:8" x14ac:dyDescent="0.35">
      <c r="H68" s="12"/>
    </row>
    <row r="69" spans="2:8" x14ac:dyDescent="0.35">
      <c r="H69" s="12"/>
    </row>
    <row r="70" spans="2:8" x14ac:dyDescent="0.35">
      <c r="H70" s="12"/>
    </row>
    <row r="71" spans="2:8" x14ac:dyDescent="0.35">
      <c r="H71" s="12"/>
    </row>
    <row r="72" spans="2:8" x14ac:dyDescent="0.35">
      <c r="H72" s="12"/>
    </row>
    <row r="73" spans="2:8" x14ac:dyDescent="0.35">
      <c r="H73" s="12"/>
    </row>
    <row r="74" spans="2:8" x14ac:dyDescent="0.35">
      <c r="H74" s="12"/>
    </row>
    <row r="75" spans="2:8" x14ac:dyDescent="0.35">
      <c r="H75" s="12"/>
    </row>
    <row r="76" spans="2:8" x14ac:dyDescent="0.35">
      <c r="H76" s="12"/>
    </row>
    <row r="77" spans="2:8" x14ac:dyDescent="0.35">
      <c r="H77" s="12"/>
    </row>
    <row r="78" spans="2:8" x14ac:dyDescent="0.35">
      <c r="H78" s="12"/>
    </row>
    <row r="79" spans="2:8" x14ac:dyDescent="0.35">
      <c r="H79" s="12"/>
    </row>
    <row r="80" spans="2:8" x14ac:dyDescent="0.35">
      <c r="H80" s="12"/>
    </row>
    <row r="81" spans="8:8" x14ac:dyDescent="0.35">
      <c r="H81" s="12"/>
    </row>
    <row r="82" spans="8:8" x14ac:dyDescent="0.35">
      <c r="H82" s="12"/>
    </row>
    <row r="83" spans="8:8" x14ac:dyDescent="0.35">
      <c r="H83" s="12"/>
    </row>
    <row r="84" spans="8:8" x14ac:dyDescent="0.35">
      <c r="H84" s="12"/>
    </row>
    <row r="85" spans="8:8" x14ac:dyDescent="0.35">
      <c r="H85" s="12"/>
    </row>
    <row r="86" spans="8:8" x14ac:dyDescent="0.35">
      <c r="H86" s="12"/>
    </row>
    <row r="87" spans="8:8" x14ac:dyDescent="0.35">
      <c r="H87" s="12"/>
    </row>
    <row r="88" spans="8:8" x14ac:dyDescent="0.35">
      <c r="H88" s="12"/>
    </row>
    <row r="89" spans="8:8" x14ac:dyDescent="0.35">
      <c r="H89" s="12"/>
    </row>
    <row r="90" spans="8:8" x14ac:dyDescent="0.35">
      <c r="H90" s="12"/>
    </row>
    <row r="91" spans="8:8" x14ac:dyDescent="0.35">
      <c r="H91" s="12"/>
    </row>
    <row r="92" spans="8:8" x14ac:dyDescent="0.35">
      <c r="H92" s="12"/>
    </row>
    <row r="93" spans="8:8" x14ac:dyDescent="0.35">
      <c r="H93" s="12"/>
    </row>
    <row r="94" spans="8:8" x14ac:dyDescent="0.35">
      <c r="H94" s="12"/>
    </row>
    <row r="95" spans="8:8" x14ac:dyDescent="0.35">
      <c r="H95" s="12"/>
    </row>
    <row r="96" spans="8:8" x14ac:dyDescent="0.35">
      <c r="H96" s="12"/>
    </row>
    <row r="97" spans="8:8" x14ac:dyDescent="0.35">
      <c r="H97" s="12"/>
    </row>
    <row r="98" spans="8:8" x14ac:dyDescent="0.35">
      <c r="H98" s="12"/>
    </row>
    <row r="99" spans="8:8" x14ac:dyDescent="0.35">
      <c r="H99" s="12"/>
    </row>
    <row r="100" spans="8:8" x14ac:dyDescent="0.35">
      <c r="H100" s="12"/>
    </row>
    <row r="101" spans="8:8" x14ac:dyDescent="0.35">
      <c r="H101" s="12"/>
    </row>
    <row r="102" spans="8:8" x14ac:dyDescent="0.35">
      <c r="H102" s="12"/>
    </row>
    <row r="103" spans="8:8" x14ac:dyDescent="0.35">
      <c r="H103" s="12"/>
    </row>
    <row r="104" spans="8:8" x14ac:dyDescent="0.35">
      <c r="H104" s="12"/>
    </row>
    <row r="105" spans="8:8" x14ac:dyDescent="0.35">
      <c r="H105" s="12"/>
    </row>
    <row r="106" spans="8:8" x14ac:dyDescent="0.35">
      <c r="H106" s="12"/>
    </row>
    <row r="107" spans="8:8" x14ac:dyDescent="0.35">
      <c r="H107" s="12"/>
    </row>
    <row r="108" spans="8:8" x14ac:dyDescent="0.35">
      <c r="H108" s="12"/>
    </row>
    <row r="109" spans="8:8" x14ac:dyDescent="0.35">
      <c r="H109" s="12"/>
    </row>
    <row r="110" spans="8:8" x14ac:dyDescent="0.35">
      <c r="H110" s="12"/>
    </row>
    <row r="111" spans="8:8" x14ac:dyDescent="0.35">
      <c r="H111" s="12"/>
    </row>
    <row r="112" spans="8:8" x14ac:dyDescent="0.35">
      <c r="H112" s="12"/>
    </row>
    <row r="113" spans="1:8" x14ac:dyDescent="0.35">
      <c r="H113" s="12"/>
    </row>
    <row r="114" spans="1:8" x14ac:dyDescent="0.35">
      <c r="H114" s="12"/>
    </row>
    <row r="115" spans="1:8" x14ac:dyDescent="0.35">
      <c r="H115" s="12"/>
    </row>
    <row r="116" spans="1:8" x14ac:dyDescent="0.35">
      <c r="H116" s="12"/>
    </row>
    <row r="117" spans="1:8" x14ac:dyDescent="0.35">
      <c r="H117" s="12"/>
    </row>
    <row r="118" spans="1:8" x14ac:dyDescent="0.35">
      <c r="H118" s="12"/>
    </row>
    <row r="119" spans="1:8" x14ac:dyDescent="0.35">
      <c r="H119" s="12"/>
    </row>
    <row r="120" spans="1:8" x14ac:dyDescent="0.35">
      <c r="H120" s="12"/>
    </row>
    <row r="121" spans="1:8" x14ac:dyDescent="0.35">
      <c r="H121" s="12"/>
    </row>
    <row r="122" spans="1:8" x14ac:dyDescent="0.35">
      <c r="A122" s="80"/>
      <c r="B122" s="80"/>
      <c r="C122" s="80"/>
      <c r="D122" s="80"/>
      <c r="E122" s="80"/>
      <c r="F122" s="80"/>
      <c r="G122" s="80"/>
      <c r="H122" s="81"/>
    </row>
    <row r="123" spans="1:8" ht="31" customHeight="1" thickBot="1" x14ac:dyDescent="0.4">
      <c r="B123" s="328" t="s">
        <v>220</v>
      </c>
      <c r="H123" s="12"/>
    </row>
    <row r="124" spans="1:8" x14ac:dyDescent="0.35">
      <c r="H124" s="12"/>
    </row>
    <row r="125" spans="1:8" x14ac:dyDescent="0.35">
      <c r="H125" s="12"/>
    </row>
    <row r="126" spans="1:8" x14ac:dyDescent="0.35">
      <c r="H126" s="12"/>
    </row>
    <row r="127" spans="1:8" x14ac:dyDescent="0.35">
      <c r="H127" s="12"/>
    </row>
    <row r="128" spans="1:8" x14ac:dyDescent="0.35">
      <c r="H128" s="12"/>
    </row>
    <row r="129" spans="8:8" x14ac:dyDescent="0.35">
      <c r="H129" s="12"/>
    </row>
    <row r="130" spans="8:8" ht="21.65" customHeight="1" x14ac:dyDescent="0.35">
      <c r="H130" s="12"/>
    </row>
    <row r="131" spans="8:8" x14ac:dyDescent="0.35">
      <c r="H131" s="12"/>
    </row>
    <row r="132" spans="8:8" x14ac:dyDescent="0.35">
      <c r="H132" s="12"/>
    </row>
    <row r="133" spans="8:8" x14ac:dyDescent="0.35">
      <c r="H133" s="12"/>
    </row>
    <row r="134" spans="8:8" x14ac:dyDescent="0.35">
      <c r="H134" s="12"/>
    </row>
    <row r="135" spans="8:8" x14ac:dyDescent="0.35">
      <c r="H135" s="12"/>
    </row>
    <row r="136" spans="8:8" x14ac:dyDescent="0.35">
      <c r="H136" s="12"/>
    </row>
    <row r="137" spans="8:8" x14ac:dyDescent="0.35">
      <c r="H137" s="12"/>
    </row>
    <row r="138" spans="8:8" x14ac:dyDescent="0.35">
      <c r="H138" s="12"/>
    </row>
    <row r="139" spans="8:8" x14ac:dyDescent="0.35">
      <c r="H139" s="12"/>
    </row>
    <row r="140" spans="8:8" ht="19" customHeight="1" x14ac:dyDescent="0.35">
      <c r="H140" s="12"/>
    </row>
    <row r="141" spans="8:8" x14ac:dyDescent="0.35">
      <c r="H141" s="12"/>
    </row>
    <row r="142" spans="8:8" x14ac:dyDescent="0.35">
      <c r="H142" s="12"/>
    </row>
    <row r="143" spans="8:8" x14ac:dyDescent="0.35">
      <c r="H143" s="12"/>
    </row>
    <row r="144" spans="8:8" x14ac:dyDescent="0.35">
      <c r="H144" s="12"/>
    </row>
    <row r="145" spans="8:8" x14ac:dyDescent="0.35">
      <c r="H145" s="12"/>
    </row>
    <row r="146" spans="8:8" x14ac:dyDescent="0.35">
      <c r="H146" s="12"/>
    </row>
    <row r="147" spans="8:8" x14ac:dyDescent="0.35">
      <c r="H147" s="12"/>
    </row>
    <row r="148" spans="8:8" x14ac:dyDescent="0.35">
      <c r="H148" s="12"/>
    </row>
    <row r="149" spans="8:8" x14ac:dyDescent="0.35">
      <c r="H149" s="12"/>
    </row>
    <row r="150" spans="8:8" x14ac:dyDescent="0.35">
      <c r="H150" s="12"/>
    </row>
    <row r="151" spans="8:8" x14ac:dyDescent="0.35">
      <c r="H151" s="12"/>
    </row>
    <row r="152" spans="8:8" x14ac:dyDescent="0.35">
      <c r="H152" s="12"/>
    </row>
    <row r="153" spans="8:8" x14ac:dyDescent="0.35">
      <c r="H153" s="12"/>
    </row>
    <row r="154" spans="8:8" x14ac:dyDescent="0.35">
      <c r="H154" s="12"/>
    </row>
    <row r="155" spans="8:8" x14ac:dyDescent="0.35">
      <c r="H155" s="12"/>
    </row>
    <row r="156" spans="8:8" x14ac:dyDescent="0.35">
      <c r="H156" s="12"/>
    </row>
    <row r="157" spans="8:8" x14ac:dyDescent="0.35">
      <c r="H157" s="12"/>
    </row>
    <row r="158" spans="8:8" x14ac:dyDescent="0.35">
      <c r="H158" s="12"/>
    </row>
    <row r="159" spans="8:8" x14ac:dyDescent="0.35">
      <c r="H159" s="12"/>
    </row>
    <row r="160" spans="8:8" x14ac:dyDescent="0.35">
      <c r="H160" s="12"/>
    </row>
    <row r="161" spans="1:15" x14ac:dyDescent="0.35">
      <c r="H161" s="12"/>
    </row>
    <row r="162" spans="1:15" x14ac:dyDescent="0.35">
      <c r="H162" s="12"/>
    </row>
    <row r="163" spans="1:15" x14ac:dyDescent="0.35">
      <c r="H163" s="12"/>
    </row>
    <row r="164" spans="1:15" x14ac:dyDescent="0.35">
      <c r="H164" s="12"/>
    </row>
    <row r="165" spans="1:15" x14ac:dyDescent="0.35">
      <c r="H165" s="12"/>
    </row>
    <row r="166" spans="1:15" x14ac:dyDescent="0.35">
      <c r="H166" s="12"/>
    </row>
    <row r="167" spans="1:15" x14ac:dyDescent="0.35">
      <c r="H167" s="12"/>
    </row>
    <row r="168" spans="1:15" x14ac:dyDescent="0.35">
      <c r="H168" s="12"/>
    </row>
    <row r="169" spans="1:15" x14ac:dyDescent="0.35">
      <c r="H169" s="12"/>
    </row>
    <row r="170" spans="1:15" ht="41.5" customHeight="1" x14ac:dyDescent="0.35">
      <c r="A170" s="13"/>
      <c r="B170" s="95"/>
      <c r="C170" s="95"/>
      <c r="H170" s="12"/>
      <c r="I170" s="1"/>
      <c r="J170" s="1"/>
      <c r="K170" s="1"/>
      <c r="L170" s="1"/>
      <c r="M170" s="1"/>
      <c r="N170" s="1"/>
      <c r="O170" s="1"/>
    </row>
    <row r="171" spans="1:15" ht="13.5" customHeight="1" x14ac:dyDescent="0.35">
      <c r="A171" s="13"/>
      <c r="B171" s="9"/>
      <c r="C171" s="10"/>
      <c r="H171" s="12"/>
      <c r="I171" s="1"/>
      <c r="J171" s="1"/>
      <c r="K171" s="1"/>
      <c r="L171" s="1"/>
      <c r="M171" s="1"/>
      <c r="N171" s="1"/>
      <c r="O171" s="1"/>
    </row>
    <row r="172" spans="1:15" ht="31" x14ac:dyDescent="0.35">
      <c r="A172" s="13"/>
      <c r="B172" s="11"/>
      <c r="C172" s="11"/>
      <c r="H172" s="12"/>
      <c r="I172" s="1"/>
      <c r="J172" s="1"/>
      <c r="K172" s="1"/>
      <c r="L172" s="1"/>
      <c r="M172" s="1"/>
      <c r="N172" s="1"/>
      <c r="O172" s="1"/>
    </row>
    <row r="173" spans="1:15" ht="98.15" customHeight="1" x14ac:dyDescent="0.35">
      <c r="A173" s="13"/>
      <c r="H173" s="12"/>
      <c r="I173" s="1"/>
      <c r="J173" s="1"/>
      <c r="K173" s="1"/>
      <c r="L173" s="1"/>
      <c r="M173" s="1"/>
      <c r="N173" s="1"/>
      <c r="O173" s="1"/>
    </row>
    <row r="174" spans="1:15" x14ac:dyDescent="0.35">
      <c r="A174" s="13"/>
      <c r="H174" s="12"/>
      <c r="I174" s="1"/>
      <c r="J174" s="1"/>
      <c r="K174" s="1"/>
      <c r="L174" s="1"/>
      <c r="M174" s="1"/>
      <c r="N174" s="1"/>
      <c r="O174" s="1"/>
    </row>
    <row r="175" spans="1:15" s="3" customFormat="1" ht="26" x14ac:dyDescent="0.6">
      <c r="A175" s="13"/>
      <c r="D175"/>
      <c r="E175"/>
      <c r="G175"/>
      <c r="H175" s="12"/>
      <c r="I175" s="2"/>
      <c r="J175" s="2"/>
      <c r="K175" s="2"/>
      <c r="L175" s="2"/>
      <c r="M175" s="2"/>
      <c r="N175" s="2"/>
      <c r="O175" s="2"/>
    </row>
    <row r="176" spans="1:15" x14ac:dyDescent="0.35">
      <c r="A176" s="13"/>
      <c r="H176" s="12"/>
      <c r="I176" s="1"/>
      <c r="J176" s="1"/>
      <c r="K176" s="1"/>
      <c r="L176" s="1"/>
      <c r="M176" s="1"/>
      <c r="N176" s="1"/>
      <c r="O176" s="1"/>
    </row>
    <row r="177" spans="1:15" x14ac:dyDescent="0.35">
      <c r="A177" s="13"/>
      <c r="H177" s="12"/>
      <c r="I177" s="1"/>
      <c r="J177" s="1"/>
      <c r="K177" s="1"/>
      <c r="L177" s="1"/>
      <c r="M177" s="1"/>
      <c r="N177" s="1"/>
      <c r="O177" s="1"/>
    </row>
    <row r="178" spans="1:15" x14ac:dyDescent="0.35">
      <c r="A178" s="13"/>
      <c r="H178" s="12"/>
      <c r="I178" s="1"/>
      <c r="J178" s="1"/>
      <c r="K178" s="1"/>
      <c r="L178" s="1"/>
      <c r="M178" s="1"/>
      <c r="N178" s="1"/>
      <c r="O178" s="1"/>
    </row>
    <row r="179" spans="1:15" x14ac:dyDescent="0.35">
      <c r="A179" s="13"/>
      <c r="H179" s="12"/>
      <c r="I179" s="1"/>
      <c r="J179" s="1"/>
      <c r="K179" s="1"/>
      <c r="L179" s="1"/>
      <c r="M179" s="1"/>
      <c r="N179" s="1"/>
      <c r="O179" s="1"/>
    </row>
    <row r="180" spans="1:15" ht="19" customHeight="1" x14ac:dyDescent="0.35">
      <c r="B180" s="100"/>
      <c r="H180" s="12"/>
    </row>
    <row r="181" spans="1:15" x14ac:dyDescent="0.35">
      <c r="B181" s="1"/>
      <c r="H181" s="12"/>
    </row>
    <row r="182" spans="1:15" x14ac:dyDescent="0.35">
      <c r="H182" s="12"/>
    </row>
    <row r="183" spans="1:15" ht="26" x14ac:dyDescent="0.35">
      <c r="F183" s="6"/>
      <c r="H183" s="12"/>
    </row>
    <row r="184" spans="1:15" ht="26" x14ac:dyDescent="0.6">
      <c r="B184" s="1"/>
      <c r="C184" s="3"/>
      <c r="F184" s="6"/>
      <c r="H184" s="12"/>
    </row>
    <row r="185" spans="1:15" x14ac:dyDescent="0.35">
      <c r="H185" s="12"/>
    </row>
    <row r="186" spans="1:15" ht="26" x14ac:dyDescent="0.6">
      <c r="A186" s="13"/>
      <c r="B186" s="1"/>
      <c r="C186" s="3"/>
      <c r="F186" s="6"/>
      <c r="H186" s="12"/>
    </row>
    <row r="187" spans="1:15" ht="26" x14ac:dyDescent="0.6">
      <c r="A187" s="13"/>
      <c r="B187" s="1"/>
      <c r="C187" s="3"/>
      <c r="F187" s="6"/>
      <c r="H187" s="12"/>
    </row>
    <row r="188" spans="1:15" ht="26" x14ac:dyDescent="0.6">
      <c r="A188" s="13"/>
      <c r="B188" s="1"/>
      <c r="C188" s="3"/>
      <c r="F188" s="6"/>
      <c r="H188" s="12"/>
    </row>
    <row r="189" spans="1:15" ht="26" x14ac:dyDescent="0.35">
      <c r="A189" s="13"/>
      <c r="B189" s="1"/>
      <c r="C189" s="6"/>
      <c r="F189" s="6"/>
      <c r="H189" s="12"/>
    </row>
    <row r="190" spans="1:15" x14ac:dyDescent="0.35">
      <c r="H190" s="12"/>
    </row>
    <row r="191" spans="1:15" ht="26" x14ac:dyDescent="0.6">
      <c r="A191" s="13"/>
      <c r="B191" s="1"/>
      <c r="C191" s="3"/>
      <c r="F191" s="6"/>
      <c r="H191" s="12"/>
    </row>
    <row r="192" spans="1:15" ht="26" x14ac:dyDescent="0.6">
      <c r="A192" s="13"/>
      <c r="B192" s="1"/>
      <c r="C192" s="3"/>
      <c r="F192" s="6"/>
      <c r="H192" s="12"/>
    </row>
    <row r="193" spans="1:15" ht="26" x14ac:dyDescent="0.6">
      <c r="A193" s="13"/>
      <c r="B193" s="1"/>
      <c r="C193" s="3"/>
      <c r="F193" s="6"/>
      <c r="H193" s="12"/>
    </row>
    <row r="194" spans="1:15" ht="26" x14ac:dyDescent="0.6">
      <c r="A194" s="13"/>
      <c r="B194" s="1"/>
      <c r="C194" s="3"/>
      <c r="F194" s="6"/>
      <c r="H194" s="12"/>
    </row>
    <row r="195" spans="1:15" ht="26" x14ac:dyDescent="0.6">
      <c r="A195" s="13"/>
      <c r="B195" s="1"/>
      <c r="C195" s="3"/>
      <c r="F195" s="6"/>
      <c r="H195" s="12"/>
    </row>
    <row r="196" spans="1:15" ht="26" x14ac:dyDescent="0.6">
      <c r="A196" s="13"/>
      <c r="B196" s="1"/>
      <c r="C196" s="3"/>
      <c r="F196" s="6"/>
      <c r="H196" s="12"/>
    </row>
    <row r="197" spans="1:15" ht="26" x14ac:dyDescent="0.6">
      <c r="A197" s="13"/>
      <c r="B197" s="1"/>
      <c r="C197" s="3"/>
      <c r="F197" s="6"/>
      <c r="H197" s="12"/>
    </row>
    <row r="198" spans="1:15" ht="26" x14ac:dyDescent="0.6">
      <c r="A198" s="13"/>
      <c r="B198" s="1"/>
      <c r="C198" s="3"/>
      <c r="F198" s="6"/>
      <c r="H198" s="12"/>
    </row>
    <row r="199" spans="1:15" x14ac:dyDescent="0.35">
      <c r="B199" s="1"/>
      <c r="H199" s="12"/>
    </row>
    <row r="200" spans="1:15" x14ac:dyDescent="0.35">
      <c r="H200" s="12"/>
    </row>
    <row r="201" spans="1:15" x14ac:dyDescent="0.35">
      <c r="A201" s="13"/>
      <c r="B201" s="1"/>
      <c r="H201" s="12"/>
    </row>
    <row r="202" spans="1:15" x14ac:dyDescent="0.35">
      <c r="A202" s="13"/>
      <c r="B202" s="1"/>
      <c r="H202" s="12"/>
    </row>
    <row r="203" spans="1:15" ht="26" x14ac:dyDescent="0.6">
      <c r="A203" s="14"/>
      <c r="B203" s="105"/>
      <c r="C203" s="106"/>
      <c r="D203" s="80"/>
      <c r="E203" s="80"/>
      <c r="F203" s="107"/>
      <c r="G203" s="107"/>
      <c r="H203" s="12"/>
    </row>
    <row r="204" spans="1:15" ht="42.65" customHeight="1" x14ac:dyDescent="0.35">
      <c r="A204" s="13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5">
      <c r="A205" s="13"/>
      <c r="B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5">
      <c r="A206" s="13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5">
      <c r="A207" s="13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35">
      <c r="A208" s="13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5">
      <c r="A209" s="13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5">
      <c r="A210" s="13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5">
      <c r="A211" s="13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5">
      <c r="A212" s="13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5">
      <c r="A213" s="13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5">
      <c r="A214" s="13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5">
      <c r="A215" s="13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5">
      <c r="A216" s="13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5">
      <c r="A217" s="13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5">
      <c r="A218" s="13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5"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5">
      <c r="A220" s="13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5">
      <c r="A221" s="14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5"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5"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5">
      <c r="A224" s="13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5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5">
      <c r="A226" s="13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5">
      <c r="A227" s="13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5">
      <c r="A228" s="13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5">
      <c r="A229" s="13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35">
      <c r="A230" s="13"/>
      <c r="B230" s="1"/>
      <c r="C230" s="1"/>
      <c r="D230" s="1"/>
      <c r="F230" s="101"/>
      <c r="H230" s="1"/>
      <c r="I230" s="1"/>
      <c r="J230" s="1"/>
      <c r="K230" s="1"/>
      <c r="L230" s="1"/>
      <c r="M230" s="1"/>
      <c r="N230" s="1"/>
      <c r="O230" s="1"/>
    </row>
    <row r="231" spans="1:15" x14ac:dyDescent="0.35">
      <c r="A231" s="13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35">
      <c r="A232" s="13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35">
      <c r="A233" s="13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35">
      <c r="A234" s="13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35">
      <c r="A235" s="13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5">
      <c r="A236" s="13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35">
      <c r="A237" s="13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35">
      <c r="A238" s="13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5">
      <c r="A239" s="13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5">
      <c r="A240" s="13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5">
      <c r="A241" s="13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35">
      <c r="A242" s="13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35">
      <c r="A243" s="13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35">
      <c r="A244" s="13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35">
      <c r="A245" s="13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35">
      <c r="A246" s="13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35">
      <c r="A247" s="13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35">
      <c r="A248" s="13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35">
      <c r="A249" s="13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35">
      <c r="A250" s="13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35">
      <c r="A251" s="13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35">
      <c r="A252" s="13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35">
      <c r="A253" s="13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5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5">
      <c r="A255" s="13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35">
      <c r="A256" s="13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5">
      <c r="A257" s="13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5">
      <c r="A258" s="13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5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5">
      <c r="A260" s="13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5">
      <c r="A261" s="13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5">
      <c r="A262" s="13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5">
      <c r="A263" s="13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5">
      <c r="A264" s="13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5">
      <c r="A265" s="13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5">
      <c r="A266" s="13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5">
      <c r="A267" s="13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5">
      <c r="A268" s="13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5">
      <c r="A269" s="13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5">
      <c r="A270" s="13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5">
      <c r="A271" s="13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5">
      <c r="A272" s="13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35">
      <c r="A273" s="13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35">
      <c r="A274" s="13"/>
      <c r="B274" s="1"/>
      <c r="F274" s="1"/>
    </row>
    <row r="275" spans="1:15" x14ac:dyDescent="0.35">
      <c r="A275" s="13"/>
      <c r="B275" s="1"/>
      <c r="F275" s="1"/>
    </row>
    <row r="276" spans="1:15" x14ac:dyDescent="0.35">
      <c r="A276" s="13"/>
    </row>
  </sheetData>
  <sheetProtection algorithmName="SHA-512" hashValue="ojlkMdmxgJAF7OFD0GGVPsG8OJnRKiQX7wzh1OIXiL7t5ydpSGsTSjt9O1ekfI+fxvuOxbgkdZGQubOeYpD51g==" saltValue="JH9Sv9djDPWktixwD2SePg==" spinCount="100000" sheet="1" objects="1" scenarios="1" selectLockedCells="1"/>
  <pageMargins left="0.7" right="0.7" top="0.75" bottom="0.75" header="0.3" footer="0.3"/>
  <pageSetup paperSize="9" scale="41" orientation="portrait" r:id="rId1"/>
  <rowBreaks count="2" manualBreakCount="2">
    <brk id="120" max="7" man="1"/>
    <brk id="204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E3AB-5138-4255-88CF-40310D216227}">
  <sheetPr codeName="Taul3">
    <tabColor theme="1"/>
    <pageSetUpPr fitToPage="1"/>
  </sheetPr>
  <dimension ref="A1:X28"/>
  <sheetViews>
    <sheetView showGridLines="0" zoomScaleNormal="100" workbookViewId="0">
      <selection activeCell="D5" sqref="D5"/>
    </sheetView>
  </sheetViews>
  <sheetFormatPr defaultRowHeight="14.5" x14ac:dyDescent="0.35"/>
  <cols>
    <col min="1" max="1" width="7.26953125" customWidth="1"/>
    <col min="2" max="2" width="1.453125" customWidth="1"/>
    <col min="3" max="3" width="35.54296875" customWidth="1"/>
    <col min="4" max="4" width="78.7265625" customWidth="1"/>
    <col min="5" max="5" width="1.54296875" customWidth="1"/>
    <col min="7" max="7" width="42.1796875" customWidth="1"/>
    <col min="13" max="13" width="1.1796875" customWidth="1"/>
  </cols>
  <sheetData>
    <row r="1" spans="1:24" ht="9" customHeight="1" x14ac:dyDescent="0.35">
      <c r="A1" s="1"/>
      <c r="B1" s="1"/>
      <c r="C1" s="1"/>
      <c r="D1" s="1"/>
      <c r="F1" s="1"/>
      <c r="M1" s="1"/>
      <c r="N1" s="1"/>
    </row>
    <row r="2" spans="1:24" ht="35.5" customHeight="1" x14ac:dyDescent="0.35">
      <c r="A2" s="1"/>
      <c r="B2" s="1"/>
      <c r="C2" s="82" t="s">
        <v>157</v>
      </c>
      <c r="D2" s="83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 ht="11.15" customHeight="1" x14ac:dyDescent="0.35">
      <c r="A3" s="1"/>
      <c r="B3" s="1"/>
      <c r="C3" s="1"/>
      <c r="D3" s="1"/>
      <c r="E3" s="1"/>
      <c r="F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65" customHeight="1" x14ac:dyDescent="0.35">
      <c r="A4" s="1"/>
      <c r="B4" s="1"/>
      <c r="C4" s="84" t="s">
        <v>158</v>
      </c>
      <c r="D4" s="19"/>
      <c r="M4" s="1"/>
      <c r="N4" s="1"/>
      <c r="O4" s="1"/>
      <c r="P4" s="1"/>
      <c r="Q4" s="1"/>
      <c r="R4" s="1"/>
      <c r="S4" s="1"/>
      <c r="V4" s="1"/>
      <c r="W4" s="1"/>
      <c r="X4" s="1"/>
    </row>
    <row r="5" spans="1:24" s="7" customFormat="1" ht="19" customHeight="1" x14ac:dyDescent="0.35">
      <c r="A5" s="1"/>
      <c r="B5" s="1"/>
      <c r="C5" s="158" t="s">
        <v>161</v>
      </c>
      <c r="D5" s="159"/>
      <c r="E5"/>
      <c r="F5"/>
      <c r="G5"/>
      <c r="H5"/>
      <c r="I5"/>
      <c r="J5"/>
      <c r="K5"/>
      <c r="L5"/>
      <c r="M5" s="1"/>
      <c r="N5" s="1"/>
      <c r="O5" s="1"/>
      <c r="P5" s="1"/>
      <c r="Q5" s="1"/>
      <c r="R5" s="1"/>
      <c r="S5" s="1"/>
      <c r="T5"/>
      <c r="U5"/>
      <c r="V5" s="8"/>
      <c r="W5" s="8"/>
      <c r="X5" s="8"/>
    </row>
    <row r="6" spans="1:24" s="7" customFormat="1" ht="19" customHeight="1" x14ac:dyDescent="0.35">
      <c r="A6" s="1"/>
      <c r="B6" s="1"/>
      <c r="C6" s="160" t="s">
        <v>162</v>
      </c>
      <c r="D6" s="161"/>
      <c r="E6"/>
      <c r="F6"/>
      <c r="H6"/>
      <c r="I6"/>
      <c r="J6"/>
      <c r="K6"/>
      <c r="L6"/>
      <c r="M6" s="1"/>
      <c r="N6" s="1"/>
      <c r="O6" s="1"/>
      <c r="P6" s="1"/>
      <c r="Q6" s="1"/>
      <c r="R6" s="1"/>
      <c r="S6" s="1"/>
      <c r="T6"/>
      <c r="U6"/>
      <c r="V6" s="8"/>
      <c r="W6" s="8"/>
      <c r="X6" s="8"/>
    </row>
    <row r="7" spans="1:24" s="7" customFormat="1" ht="19" customHeight="1" x14ac:dyDescent="0.35">
      <c r="A7" s="1"/>
      <c r="B7" s="1"/>
      <c r="C7" s="160" t="s">
        <v>170</v>
      </c>
      <c r="D7" s="161"/>
      <c r="E7"/>
      <c r="F7"/>
      <c r="G7"/>
      <c r="H7"/>
      <c r="I7"/>
      <c r="J7"/>
      <c r="K7"/>
      <c r="L7"/>
      <c r="M7" s="1"/>
      <c r="N7" s="1"/>
      <c r="O7" s="1"/>
      <c r="P7" s="1"/>
      <c r="Q7" s="1"/>
      <c r="R7" s="1"/>
      <c r="S7" s="1"/>
      <c r="T7"/>
      <c r="U7"/>
      <c r="V7" s="8"/>
      <c r="W7" s="8"/>
      <c r="X7" s="8"/>
    </row>
    <row r="8" spans="1:24" ht="19" customHeight="1" x14ac:dyDescent="0.35">
      <c r="A8" s="1"/>
      <c r="B8" s="1"/>
      <c r="C8" s="160" t="s">
        <v>163</v>
      </c>
      <c r="D8" s="161"/>
      <c r="M8" s="1"/>
      <c r="N8" s="1"/>
      <c r="O8" s="1"/>
      <c r="P8" s="1"/>
      <c r="Q8" s="1"/>
      <c r="R8" s="1"/>
      <c r="S8" s="1"/>
    </row>
    <row r="9" spans="1:24" ht="19" customHeight="1" x14ac:dyDescent="0.35">
      <c r="A9" s="1"/>
      <c r="B9" s="1"/>
      <c r="C9" s="160" t="s">
        <v>164</v>
      </c>
      <c r="D9" s="161"/>
      <c r="M9" s="1"/>
      <c r="N9" s="1"/>
      <c r="O9" s="1"/>
      <c r="P9" s="1"/>
      <c r="Q9" s="1"/>
      <c r="R9" s="1"/>
      <c r="S9" s="1"/>
    </row>
    <row r="10" spans="1:24" ht="19" customHeight="1" x14ac:dyDescent="0.35">
      <c r="A10" s="1"/>
      <c r="B10" s="1"/>
      <c r="C10" s="162" t="s">
        <v>165</v>
      </c>
      <c r="D10" s="163"/>
      <c r="M10" s="1"/>
      <c r="N10" s="1"/>
      <c r="O10" s="1"/>
      <c r="P10" s="1"/>
      <c r="Q10" s="1"/>
      <c r="R10" s="1"/>
      <c r="S10" s="1"/>
    </row>
    <row r="11" spans="1:24" x14ac:dyDescent="0.35">
      <c r="A11" s="1"/>
      <c r="B11" s="1"/>
      <c r="C11" s="1"/>
      <c r="D11" s="1"/>
      <c r="E11" s="1"/>
      <c r="F11" s="1"/>
      <c r="M11" s="1"/>
      <c r="N11" s="1"/>
      <c r="O11" s="1"/>
      <c r="P11" s="1"/>
      <c r="Q11" s="1"/>
      <c r="R11" s="1"/>
      <c r="S11" s="1"/>
    </row>
    <row r="12" spans="1:24" x14ac:dyDescent="0.35">
      <c r="A12" s="1"/>
      <c r="B12" s="1"/>
      <c r="C12" s="85" t="s">
        <v>159</v>
      </c>
      <c r="D12" s="86"/>
      <c r="M12" s="1"/>
      <c r="N12" s="1"/>
      <c r="O12" s="1"/>
      <c r="P12" s="1"/>
      <c r="Q12" s="1"/>
      <c r="R12" s="1"/>
      <c r="S12" s="1"/>
    </row>
    <row r="13" spans="1:24" ht="20.149999999999999" customHeight="1" x14ac:dyDescent="0.35">
      <c r="A13" s="1"/>
      <c r="B13" s="1"/>
      <c r="C13" s="158" t="s">
        <v>148</v>
      </c>
      <c r="D13" s="159"/>
      <c r="M13" s="1"/>
      <c r="N13" s="1"/>
      <c r="O13" s="1"/>
      <c r="P13" s="1"/>
      <c r="Q13" s="1"/>
      <c r="R13" s="1"/>
      <c r="S13" s="1"/>
    </row>
    <row r="14" spans="1:24" ht="20.149999999999999" customHeight="1" x14ac:dyDescent="0.35">
      <c r="A14" s="1"/>
      <c r="B14" s="1"/>
      <c r="C14" s="160" t="s">
        <v>149</v>
      </c>
      <c r="D14" s="161"/>
      <c r="M14" s="1"/>
      <c r="N14" s="1"/>
      <c r="O14" s="1"/>
      <c r="P14" s="1"/>
      <c r="Q14" s="1"/>
      <c r="R14" s="1"/>
      <c r="S14" s="1"/>
    </row>
    <row r="15" spans="1:24" ht="20.149999999999999" customHeight="1" x14ac:dyDescent="0.35">
      <c r="A15" s="1"/>
      <c r="B15" s="1"/>
      <c r="C15" s="160" t="s">
        <v>160</v>
      </c>
      <c r="D15" s="161"/>
      <c r="M15" s="1"/>
      <c r="N15" s="1"/>
      <c r="O15" s="1"/>
      <c r="P15" s="1"/>
      <c r="Q15" s="1"/>
      <c r="R15" s="1"/>
      <c r="S15" s="1"/>
    </row>
    <row r="16" spans="1:24" ht="20.149999999999999" customHeight="1" x14ac:dyDescent="0.35">
      <c r="A16" s="1"/>
      <c r="B16" s="1"/>
      <c r="C16" s="162" t="s">
        <v>150</v>
      </c>
      <c r="D16" s="164"/>
      <c r="M16" s="1"/>
      <c r="N16" s="1"/>
      <c r="O16" s="1"/>
      <c r="P16" s="1"/>
      <c r="Q16" s="1"/>
      <c r="R16" s="1"/>
      <c r="S16" s="1"/>
    </row>
    <row r="17" spans="1:19" x14ac:dyDescent="0.35">
      <c r="A17" s="1"/>
      <c r="B17" s="1"/>
      <c r="C17" s="1"/>
      <c r="D17" s="1"/>
      <c r="E17" s="1"/>
      <c r="F17" s="1"/>
      <c r="M17" s="1"/>
      <c r="N17" s="1"/>
      <c r="O17" s="1"/>
      <c r="P17" s="1"/>
      <c r="Q17" s="1"/>
      <c r="R17" s="1"/>
      <c r="S17" s="1"/>
    </row>
    <row r="18" spans="1:19" x14ac:dyDescent="0.35">
      <c r="A18" s="1"/>
      <c r="B18" s="1"/>
      <c r="C18" s="85" t="s">
        <v>147</v>
      </c>
      <c r="D18" s="86"/>
      <c r="M18" s="1"/>
      <c r="N18" s="1"/>
      <c r="O18" s="1"/>
      <c r="P18" s="1"/>
      <c r="Q18" s="1"/>
      <c r="R18" s="1"/>
      <c r="S18" s="1"/>
    </row>
    <row r="19" spans="1:19" ht="20.149999999999999" customHeight="1" x14ac:dyDescent="0.35">
      <c r="A19" s="1"/>
      <c r="B19" s="1"/>
      <c r="C19" s="158" t="s">
        <v>44</v>
      </c>
      <c r="D19" s="159"/>
      <c r="M19" s="1"/>
      <c r="N19" s="1"/>
      <c r="O19" s="1"/>
      <c r="P19" s="1"/>
      <c r="Q19" s="1"/>
      <c r="R19" s="1"/>
      <c r="S19" s="1"/>
    </row>
    <row r="20" spans="1:19" ht="20.149999999999999" customHeight="1" x14ac:dyDescent="0.35">
      <c r="A20" s="1"/>
      <c r="B20" s="1"/>
      <c r="C20" s="160" t="s">
        <v>169</v>
      </c>
      <c r="D20" s="161"/>
      <c r="M20" s="1"/>
      <c r="N20" s="1"/>
      <c r="O20" s="1"/>
      <c r="P20" s="1"/>
      <c r="Q20" s="1"/>
      <c r="R20" s="1"/>
      <c r="S20" s="1"/>
    </row>
    <row r="21" spans="1:19" ht="20.149999999999999" customHeight="1" x14ac:dyDescent="0.35">
      <c r="A21" s="1"/>
      <c r="B21" s="1"/>
      <c r="C21" s="160" t="s">
        <v>45</v>
      </c>
      <c r="D21" s="161"/>
      <c r="M21" s="1"/>
      <c r="N21" s="1"/>
      <c r="O21" s="1"/>
      <c r="P21" s="1"/>
      <c r="Q21" s="1"/>
      <c r="R21" s="1"/>
      <c r="S21" s="1"/>
    </row>
    <row r="22" spans="1:19" ht="20.149999999999999" customHeight="1" x14ac:dyDescent="0.35">
      <c r="A22" s="1"/>
      <c r="B22" s="1"/>
      <c r="C22" s="162" t="s">
        <v>46</v>
      </c>
      <c r="D22" s="164"/>
      <c r="M22" s="1"/>
      <c r="N22" s="1"/>
      <c r="O22" s="1"/>
      <c r="P22" s="1"/>
      <c r="Q22" s="1"/>
      <c r="R22" s="1"/>
      <c r="S22" s="1"/>
    </row>
    <row r="23" spans="1:19" ht="10.5" customHeight="1" x14ac:dyDescent="0.35">
      <c r="A23" s="1"/>
      <c r="B23" s="1"/>
      <c r="C23" s="1"/>
      <c r="D23" s="1"/>
      <c r="E23" s="1"/>
      <c r="F23" s="1"/>
      <c r="M23" s="1"/>
      <c r="N23" s="1"/>
      <c r="O23" s="1"/>
      <c r="P23" s="1"/>
      <c r="Q23" s="1"/>
      <c r="R23" s="1"/>
      <c r="S23" s="1"/>
    </row>
    <row r="24" spans="1:19" x14ac:dyDescent="0.35">
      <c r="A24" s="1"/>
      <c r="B24" s="1"/>
      <c r="M24" s="1"/>
      <c r="N24" s="1"/>
      <c r="O24" s="1"/>
      <c r="P24" s="1"/>
      <c r="Q24" s="1"/>
      <c r="R24" s="1"/>
      <c r="S24" s="1"/>
    </row>
    <row r="25" spans="1:19" x14ac:dyDescent="0.35">
      <c r="M25" s="1"/>
      <c r="N25" s="1"/>
      <c r="O25" s="1"/>
      <c r="P25" s="1"/>
      <c r="Q25" s="1"/>
      <c r="R25" s="1"/>
      <c r="S25" s="1"/>
    </row>
    <row r="26" spans="1:19" x14ac:dyDescent="0.35">
      <c r="M26" s="1"/>
      <c r="N26" s="1"/>
      <c r="O26" s="1"/>
      <c r="P26" s="1"/>
      <c r="Q26" s="1"/>
      <c r="R26" s="1"/>
      <c r="S26" s="1"/>
    </row>
    <row r="27" spans="1:19" x14ac:dyDescent="0.35">
      <c r="M27" s="1"/>
    </row>
    <row r="28" spans="1:19" x14ac:dyDescent="0.35">
      <c r="M28" s="1"/>
    </row>
  </sheetData>
  <sheetProtection algorithmName="SHA-512" hashValue="BFgFf93b2i4BuYCOo7qy+SCDh0+Z+zp9QnTw+HYjdssgzshmgBGOyIhAPotde3tdbxTy3/PSEahmwfOcqTjXcg==" saltValue="tl3R9JcG3q8isRZH5PjbAg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27" orientation="portrait" horizontalDpi="0" verticalDpi="0" r:id="rId1"/>
  <headerFooter>
    <oddHeader>&amp;L&amp;G&amp;C&amp;G</oddHeader>
  </headerFooter>
  <colBreaks count="1" manualBreakCount="1">
    <brk id="13" max="1048575" man="1"/>
  </col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BF2B-D8B0-4808-8D78-AD9A338319C3}">
  <sheetPr codeName="Taul11">
    <tabColor theme="9" tint="0.39997558519241921"/>
    <pageSetUpPr fitToPage="1"/>
  </sheetPr>
  <dimension ref="A1:W199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3" sqref="L3"/>
    </sheetView>
  </sheetViews>
  <sheetFormatPr defaultRowHeight="14.5" x14ac:dyDescent="0.35"/>
  <cols>
    <col min="1" max="1" width="1.1796875" customWidth="1"/>
    <col min="2" max="2" width="25" customWidth="1"/>
    <col min="3" max="3" width="23.453125" customWidth="1"/>
    <col min="4" max="4" width="27" customWidth="1"/>
    <col min="5" max="5" width="9.54296875" customWidth="1"/>
    <col min="6" max="8" width="9.81640625" customWidth="1"/>
    <col min="9" max="10" width="10.1796875" customWidth="1"/>
    <col min="11" max="11" width="9.453125" customWidth="1"/>
    <col min="12" max="12" width="13.54296875" customWidth="1"/>
    <col min="13" max="13" width="1.26953125" style="1" customWidth="1"/>
    <col min="14" max="14" width="10" customWidth="1"/>
    <col min="15" max="15" width="9.1796875" customWidth="1"/>
    <col min="16" max="16" width="11.81640625" customWidth="1"/>
    <col min="17" max="17" width="6.453125" customWidth="1"/>
    <col min="18" max="18" width="34.54296875" style="31" customWidth="1"/>
    <col min="19" max="19" width="1.54296875" style="1" customWidth="1"/>
    <col min="20" max="20" width="108.453125" customWidth="1"/>
    <col min="21" max="21" width="1.26953125" customWidth="1"/>
  </cols>
  <sheetData>
    <row r="1" spans="1:23" ht="6.65" customHeigh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"/>
      <c r="W1" s="1"/>
    </row>
    <row r="2" spans="1:23" s="7" customFormat="1" ht="8.5" customHeight="1" thickBot="1" x14ac:dyDescent="0.4">
      <c r="A2" s="38"/>
      <c r="B2" s="39"/>
      <c r="C2" s="39"/>
      <c r="L2" s="56"/>
      <c r="M2" s="56"/>
      <c r="N2" s="56"/>
      <c r="O2" s="56"/>
      <c r="P2" s="56"/>
      <c r="Q2" s="56"/>
      <c r="R2" s="56"/>
      <c r="S2" s="56"/>
      <c r="T2" s="56"/>
      <c r="U2" s="19"/>
      <c r="V2" s="8"/>
      <c r="W2" s="8"/>
    </row>
    <row r="3" spans="1:23" s="7" customFormat="1" ht="23.15" customHeight="1" thickBot="1" x14ac:dyDescent="0.4">
      <c r="A3" s="38"/>
      <c r="B3" s="39"/>
      <c r="C3" s="324" t="str">
        <f>IF(OR(COUNTIF(B1:B147,"*" &amp; "puuttuu" &amp; "*")&gt;0,COUNTIF(N3:N4,"*" &amp; "Valitse" &amp; "*")&gt;0),"*Tietoja puuttuu","")</f>
        <v>*Tietoja puuttuu</v>
      </c>
      <c r="D3" s="40" t="s">
        <v>211</v>
      </c>
      <c r="E3" s="87"/>
      <c r="F3" s="87"/>
      <c r="G3" s="87"/>
      <c r="H3" s="87"/>
      <c r="I3" s="87"/>
      <c r="J3" s="92" t="s">
        <v>31</v>
      </c>
      <c r="K3" s="93"/>
      <c r="L3" s="111"/>
      <c r="M3" s="8"/>
      <c r="N3" s="271" t="str">
        <f>IF(AND(L3="",L4=""),"* Valitse","")</f>
        <v>* Valitse</v>
      </c>
      <c r="O3" s="8"/>
      <c r="P3" s="8"/>
      <c r="Q3" s="8"/>
      <c r="R3" s="42"/>
      <c r="S3" s="8"/>
      <c r="T3" s="43"/>
      <c r="U3" s="19"/>
      <c r="V3" s="8"/>
      <c r="W3" s="8"/>
    </row>
    <row r="4" spans="1:23" ht="23.15" customHeight="1" thickBot="1" x14ac:dyDescent="0.4">
      <c r="A4" s="30"/>
      <c r="B4" s="45"/>
      <c r="C4" s="45"/>
      <c r="D4" s="88" t="s">
        <v>196</v>
      </c>
      <c r="E4" s="31"/>
      <c r="F4" s="31"/>
      <c r="G4" s="31"/>
      <c r="H4" s="31"/>
      <c r="I4" s="31"/>
      <c r="J4" s="92" t="s">
        <v>32</v>
      </c>
      <c r="K4" s="94"/>
      <c r="L4" s="112"/>
      <c r="M4" s="45"/>
      <c r="N4" s="271" t="str">
        <f>IF(AND(L3="",L4=""),"* Valitse","")</f>
        <v>* Valitse</v>
      </c>
      <c r="O4" s="31"/>
      <c r="P4" s="31"/>
      <c r="Q4" s="31"/>
      <c r="S4" s="31"/>
      <c r="T4" s="31"/>
      <c r="U4" s="19"/>
      <c r="V4" s="1"/>
      <c r="W4" s="1"/>
    </row>
    <row r="5" spans="1:23" ht="30" customHeight="1" thickBot="1" x14ac:dyDescent="0.4">
      <c r="A5" s="5"/>
      <c r="B5" s="1"/>
      <c r="C5" s="1"/>
      <c r="D5" s="337" t="s">
        <v>30</v>
      </c>
      <c r="E5" s="338"/>
      <c r="F5" s="338"/>
      <c r="G5" s="46"/>
      <c r="H5" s="47"/>
      <c r="I5" s="47"/>
      <c r="J5" s="89"/>
      <c r="K5" s="90"/>
      <c r="L5" s="91"/>
      <c r="N5" s="334" t="s">
        <v>50</v>
      </c>
      <c r="O5" s="335"/>
      <c r="P5" s="335"/>
      <c r="Q5" s="335"/>
      <c r="R5" s="336"/>
      <c r="T5" s="77" t="s">
        <v>147</v>
      </c>
      <c r="U5" s="19"/>
      <c r="V5" s="1"/>
      <c r="W5" s="1"/>
    </row>
    <row r="6" spans="1:23" s="56" customFormat="1" ht="51.65" customHeight="1" x14ac:dyDescent="0.35">
      <c r="A6" s="48"/>
      <c r="B6" s="339" t="s">
        <v>51</v>
      </c>
      <c r="C6" s="340"/>
      <c r="D6" s="49" t="s">
        <v>62</v>
      </c>
      <c r="E6" s="50" t="s">
        <v>0</v>
      </c>
      <c r="F6" s="50" t="s">
        <v>49</v>
      </c>
      <c r="G6" s="50" t="s">
        <v>1</v>
      </c>
      <c r="H6" s="51" t="s">
        <v>153</v>
      </c>
      <c r="I6" s="50" t="s">
        <v>151</v>
      </c>
      <c r="J6" s="50" t="s">
        <v>152</v>
      </c>
      <c r="K6" s="50" t="s">
        <v>52</v>
      </c>
      <c r="L6" s="51" t="s">
        <v>154</v>
      </c>
      <c r="M6" s="25"/>
      <c r="N6" s="52" t="s">
        <v>202</v>
      </c>
      <c r="O6" s="53" t="s">
        <v>2</v>
      </c>
      <c r="P6" s="54" t="s">
        <v>3</v>
      </c>
      <c r="Q6" s="53" t="s">
        <v>166</v>
      </c>
      <c r="R6" s="55" t="s">
        <v>63</v>
      </c>
      <c r="S6" s="41"/>
      <c r="T6" s="23" t="s">
        <v>172</v>
      </c>
      <c r="U6" s="19"/>
      <c r="V6" s="41"/>
      <c r="W6" s="41"/>
    </row>
    <row r="7" spans="1:23" s="56" customFormat="1" ht="16" customHeight="1" x14ac:dyDescent="0.35">
      <c r="A7" s="28" t="s">
        <v>138</v>
      </c>
      <c r="B7" s="29"/>
      <c r="C7" s="29"/>
      <c r="D7" s="57"/>
      <c r="E7" s="57"/>
      <c r="F7" s="57"/>
      <c r="G7" s="57"/>
      <c r="H7" s="57"/>
      <c r="I7" s="57"/>
      <c r="J7" s="57"/>
      <c r="K7" s="57"/>
      <c r="L7" s="58"/>
      <c r="M7" s="25"/>
      <c r="N7" s="59"/>
      <c r="O7" s="57"/>
      <c r="P7" s="57"/>
      <c r="Q7" s="57"/>
      <c r="R7" s="60"/>
      <c r="S7" s="41"/>
      <c r="T7" s="78"/>
      <c r="U7" s="19"/>
      <c r="V7" s="41"/>
      <c r="W7" s="41"/>
    </row>
    <row r="8" spans="1:23" x14ac:dyDescent="0.35">
      <c r="A8" s="19"/>
      <c r="B8" s="332" t="str">
        <f>IF(T8="Kirjoita tähän mitä tehdään","Arkkitehtisuunnittelu *Rakennusselostus puuttuu","Arkkitehtisuunnittelu")</f>
        <v>Arkkitehtisuunnittelu</v>
      </c>
      <c r="C8" s="341"/>
      <c r="D8" s="165"/>
      <c r="E8" s="166"/>
      <c r="F8" s="244"/>
      <c r="G8" s="166"/>
      <c r="H8" s="264">
        <f t="shared" ref="H8:H16" si="0">G8*E8</f>
        <v>0</v>
      </c>
      <c r="I8" s="166"/>
      <c r="J8" s="166"/>
      <c r="K8" s="166"/>
      <c r="L8" s="264">
        <f t="shared" ref="L8:L16" si="1">H8+I8+J8*K8</f>
        <v>0</v>
      </c>
      <c r="M8" s="141"/>
      <c r="N8" s="177"/>
      <c r="O8" s="166"/>
      <c r="P8" s="167">
        <f t="shared" ref="P8:P16" si="2">N8*20+O8*60</f>
        <v>0</v>
      </c>
      <c r="Q8" s="178"/>
      <c r="R8" s="179"/>
      <c r="S8" s="61">
        <f>P8+L8</f>
        <v>0</v>
      </c>
      <c r="T8" s="18" t="str" cm="1">
        <f t="array" ref="T8">IF(S8:S8=0,"Ei toimenpiteitä","Kirjoita tähän mitä tehdään")</f>
        <v>Ei toimenpiteitä</v>
      </c>
      <c r="U8" s="19"/>
      <c r="V8" s="1"/>
      <c r="W8" s="1"/>
    </row>
    <row r="9" spans="1:23" x14ac:dyDescent="0.35">
      <c r="A9" s="19"/>
      <c r="B9" s="329" t="str">
        <f>IF(T9="Kirjoita tähän mitä tehdään","Rakennesuunnittelu *Rakennusselostus puuttuu","Rakennesuunnittelu")</f>
        <v>Rakennesuunnittelu</v>
      </c>
      <c r="C9" s="330"/>
      <c r="D9" s="168"/>
      <c r="E9" s="169"/>
      <c r="F9" s="245"/>
      <c r="G9" s="169"/>
      <c r="H9" s="265">
        <f t="shared" si="0"/>
        <v>0</v>
      </c>
      <c r="I9" s="169"/>
      <c r="J9" s="169"/>
      <c r="K9" s="169"/>
      <c r="L9" s="265">
        <f t="shared" si="1"/>
        <v>0</v>
      </c>
      <c r="M9" s="141"/>
      <c r="N9" s="180"/>
      <c r="O9" s="169"/>
      <c r="P9" s="170">
        <f t="shared" si="2"/>
        <v>0</v>
      </c>
      <c r="Q9" s="181"/>
      <c r="R9" s="182"/>
      <c r="S9" s="61">
        <f t="shared" ref="S9:S78" si="3">P9+L9</f>
        <v>0</v>
      </c>
      <c r="T9" s="18" t="str" cm="1">
        <f t="array" ref="T9">IF(S9:S9=0,"Ei toimenpiteitä","Kirjoita tähän mitä tehdään")</f>
        <v>Ei toimenpiteitä</v>
      </c>
      <c r="U9" s="19"/>
      <c r="V9" s="1"/>
      <c r="W9" s="1"/>
    </row>
    <row r="10" spans="1:23" x14ac:dyDescent="0.35">
      <c r="A10" s="19"/>
      <c r="B10" s="329" t="str">
        <f>IF(T10="Kirjoita tähän mitä tehdään","LVI-suunnittelu *Rakennusselostus puuttuu","LVI-suunnittelu")</f>
        <v>LVI-suunnittelu</v>
      </c>
      <c r="C10" s="330"/>
      <c r="D10" s="168"/>
      <c r="E10" s="169"/>
      <c r="F10" s="245"/>
      <c r="G10" s="169"/>
      <c r="H10" s="265">
        <f t="shared" si="0"/>
        <v>0</v>
      </c>
      <c r="I10" s="169"/>
      <c r="J10" s="169"/>
      <c r="K10" s="169"/>
      <c r="L10" s="265">
        <f t="shared" si="1"/>
        <v>0</v>
      </c>
      <c r="M10" s="141"/>
      <c r="N10" s="180"/>
      <c r="O10" s="169"/>
      <c r="P10" s="170">
        <f t="shared" si="2"/>
        <v>0</v>
      </c>
      <c r="Q10" s="181"/>
      <c r="R10" s="182"/>
      <c r="S10" s="61">
        <f t="shared" si="3"/>
        <v>0</v>
      </c>
      <c r="T10" s="18" t="str" cm="1">
        <f t="array" ref="T10">IF(S10:S10=0,"Ei toimenpiteitä","Kirjoita tähän mitä tehdään")</f>
        <v>Ei toimenpiteitä</v>
      </c>
      <c r="U10" s="19"/>
      <c r="V10" s="1"/>
      <c r="W10" s="1"/>
    </row>
    <row r="11" spans="1:23" x14ac:dyDescent="0.35">
      <c r="A11" s="19"/>
      <c r="B11" s="329" t="str">
        <f>IF(T11="Kirjoita tähän mitä tehdään","Valvontaviranomaisten maksut (esim. rakennuslupa) *Rakennusselostus puuttuu","Valvontaviranomaisten maksut (esim. rakennuslupa)")</f>
        <v>Valvontaviranomaisten maksut (esim. rakennuslupa)</v>
      </c>
      <c r="C11" s="330"/>
      <c r="D11" s="168"/>
      <c r="E11" s="169"/>
      <c r="F11" s="245"/>
      <c r="G11" s="169"/>
      <c r="H11" s="265">
        <f t="shared" si="0"/>
        <v>0</v>
      </c>
      <c r="I11" s="169"/>
      <c r="J11" s="169"/>
      <c r="K11" s="169"/>
      <c r="L11" s="265">
        <f t="shared" si="1"/>
        <v>0</v>
      </c>
      <c r="M11" s="141"/>
      <c r="N11" s="180"/>
      <c r="O11" s="169"/>
      <c r="P11" s="170">
        <f t="shared" si="2"/>
        <v>0</v>
      </c>
      <c r="Q11" s="181"/>
      <c r="R11" s="182"/>
      <c r="S11" s="61">
        <f t="shared" si="3"/>
        <v>0</v>
      </c>
      <c r="T11" s="18" t="str" cm="1">
        <f t="array" ref="T11">IF(S11:S11=0,"Ei toimenpiteitä","Kirjoita tähän mitä tehdään")</f>
        <v>Ei toimenpiteitä</v>
      </c>
      <c r="U11" s="19"/>
      <c r="V11" s="1"/>
      <c r="W11" s="1"/>
    </row>
    <row r="12" spans="1:23" x14ac:dyDescent="0.35">
      <c r="A12" s="19"/>
      <c r="B12" s="329" t="str">
        <f>IF(T12="Kirjoita tähän mitä tehdään","Vakuutukset *Rakennusselostus puuttuu","Vakuutukset")</f>
        <v>Vakuutukset</v>
      </c>
      <c r="C12" s="330"/>
      <c r="D12" s="168"/>
      <c r="E12" s="169"/>
      <c r="F12" s="245"/>
      <c r="G12" s="169"/>
      <c r="H12" s="265">
        <f t="shared" si="0"/>
        <v>0</v>
      </c>
      <c r="I12" s="169"/>
      <c r="J12" s="169"/>
      <c r="K12" s="169"/>
      <c r="L12" s="265">
        <f t="shared" si="1"/>
        <v>0</v>
      </c>
      <c r="M12" s="141"/>
      <c r="N12" s="180"/>
      <c r="O12" s="169"/>
      <c r="P12" s="170">
        <f t="shared" si="2"/>
        <v>0</v>
      </c>
      <c r="Q12" s="181"/>
      <c r="R12" s="182"/>
      <c r="S12" s="61">
        <f t="shared" si="3"/>
        <v>0</v>
      </c>
      <c r="T12" s="18" t="str" cm="1">
        <f t="array" ref="T12">IF(S12:S12=0,"Ei toimenpiteitä","Kirjoita tähän mitä tehdään")</f>
        <v>Ei toimenpiteitä</v>
      </c>
      <c r="U12" s="19"/>
      <c r="V12" s="1"/>
      <c r="W12" s="1"/>
    </row>
    <row r="13" spans="1:23" x14ac:dyDescent="0.35">
      <c r="A13" s="19"/>
      <c r="B13" s="329" t="str">
        <f>IF(T13="Kirjoita tähän mitä tehdään","Katselmukset *Rakennusselostus puuttuu","Katselmukset")</f>
        <v>Katselmukset</v>
      </c>
      <c r="C13" s="330"/>
      <c r="D13" s="168"/>
      <c r="E13" s="169"/>
      <c r="F13" s="245"/>
      <c r="G13" s="169"/>
      <c r="H13" s="265">
        <f t="shared" si="0"/>
        <v>0</v>
      </c>
      <c r="I13" s="169"/>
      <c r="J13" s="169"/>
      <c r="K13" s="169"/>
      <c r="L13" s="265">
        <f t="shared" si="1"/>
        <v>0</v>
      </c>
      <c r="M13" s="141"/>
      <c r="N13" s="180"/>
      <c r="O13" s="169"/>
      <c r="P13" s="170">
        <f t="shared" si="2"/>
        <v>0</v>
      </c>
      <c r="Q13" s="181"/>
      <c r="R13" s="182"/>
      <c r="S13" s="61">
        <f t="shared" si="3"/>
        <v>0</v>
      </c>
      <c r="T13" s="18" t="str" cm="1">
        <f t="array" ref="T13">IF(S13:S13=0,"Ei toimenpiteitä","Kirjoita tähän mitä tehdään")</f>
        <v>Ei toimenpiteitä</v>
      </c>
      <c r="U13" s="19"/>
      <c r="V13" s="1"/>
      <c r="W13" s="1"/>
    </row>
    <row r="14" spans="1:23" x14ac:dyDescent="0.35">
      <c r="A14" s="19"/>
      <c r="B14" s="329" t="str">
        <f>IF(T14="Kirjoita tähän mitä tehdään","LVIS liittymismaksut *Rakennusselostus puuttuu","LVIS liittymismaksut")</f>
        <v>LVIS liittymismaksut</v>
      </c>
      <c r="C14" s="330"/>
      <c r="D14" s="168"/>
      <c r="E14" s="169"/>
      <c r="F14" s="245"/>
      <c r="G14" s="169"/>
      <c r="H14" s="265">
        <f t="shared" si="0"/>
        <v>0</v>
      </c>
      <c r="I14" s="169"/>
      <c r="J14" s="169"/>
      <c r="K14" s="169"/>
      <c r="L14" s="265">
        <f t="shared" si="1"/>
        <v>0</v>
      </c>
      <c r="M14" s="141"/>
      <c r="N14" s="180"/>
      <c r="O14" s="169"/>
      <c r="P14" s="170">
        <f t="shared" si="2"/>
        <v>0</v>
      </c>
      <c r="Q14" s="181"/>
      <c r="R14" s="182"/>
      <c r="S14" s="61">
        <f t="shared" si="3"/>
        <v>0</v>
      </c>
      <c r="T14" s="18" t="str" cm="1">
        <f t="array" ref="T14">IF(S14:S14=0,"Ei toimenpiteitä","Kirjoita tähän mitä tehdään")</f>
        <v>Ei toimenpiteitä</v>
      </c>
      <c r="U14" s="19"/>
      <c r="V14" s="1"/>
      <c r="W14" s="1"/>
    </row>
    <row r="15" spans="1:23" x14ac:dyDescent="0.35">
      <c r="A15" s="19"/>
      <c r="B15" s="329" t="str">
        <f>IF(T15="Kirjoita tähän mitä tehdään","Vuokraoikeuden kirjaus *Rakennusselostus puuttuu","Vuokraoikeuden kirjaus")</f>
        <v>Vuokraoikeuden kirjaus</v>
      </c>
      <c r="C15" s="330"/>
      <c r="D15" s="168"/>
      <c r="E15" s="169"/>
      <c r="F15" s="245"/>
      <c r="G15" s="169"/>
      <c r="H15" s="265">
        <f t="shared" si="0"/>
        <v>0</v>
      </c>
      <c r="I15" s="169"/>
      <c r="J15" s="169"/>
      <c r="K15" s="169"/>
      <c r="L15" s="265">
        <f t="shared" si="1"/>
        <v>0</v>
      </c>
      <c r="M15" s="141"/>
      <c r="N15" s="180"/>
      <c r="O15" s="169"/>
      <c r="P15" s="170">
        <f t="shared" si="2"/>
        <v>0</v>
      </c>
      <c r="Q15" s="181"/>
      <c r="R15" s="182"/>
      <c r="S15" s="61">
        <f t="shared" si="3"/>
        <v>0</v>
      </c>
      <c r="T15" s="18" t="str" cm="1">
        <f t="array" ref="T15">IF(S15:S15=0,"Ei toimenpiteitä","Kirjoita tähän mitä tehdään")</f>
        <v>Ei toimenpiteitä</v>
      </c>
      <c r="U15" s="19"/>
      <c r="V15" s="1"/>
      <c r="W15" s="1"/>
    </row>
    <row r="16" spans="1:23" x14ac:dyDescent="0.35">
      <c r="A16" s="19"/>
      <c r="B16" s="325" t="str">
        <f>IF(T16="Kirjoita tähän mitä tehdään","Muu maksu: *Rakennusselostus puuttuu","Muu maksu:")</f>
        <v>Muu maksu:</v>
      </c>
      <c r="C16" s="175"/>
      <c r="D16" s="168"/>
      <c r="E16" s="169"/>
      <c r="F16" s="245"/>
      <c r="G16" s="169"/>
      <c r="H16" s="265">
        <f t="shared" si="0"/>
        <v>0</v>
      </c>
      <c r="I16" s="169"/>
      <c r="J16" s="169"/>
      <c r="K16" s="169"/>
      <c r="L16" s="265">
        <f t="shared" si="1"/>
        <v>0</v>
      </c>
      <c r="M16" s="141"/>
      <c r="N16" s="180"/>
      <c r="O16" s="169"/>
      <c r="P16" s="170">
        <f t="shared" si="2"/>
        <v>0</v>
      </c>
      <c r="Q16" s="181"/>
      <c r="R16" s="182"/>
      <c r="S16" s="61">
        <f t="shared" si="3"/>
        <v>0</v>
      </c>
      <c r="T16" s="18" t="str" cm="1">
        <f t="array" ref="T16">IF(S16:S16=0,"Ei toimenpiteitä","Kirjoita tähän mitä tehdään")</f>
        <v>Ei toimenpiteitä</v>
      </c>
      <c r="U16" s="19"/>
      <c r="V16" s="1"/>
      <c r="W16" s="1"/>
    </row>
    <row r="17" spans="1:23" x14ac:dyDescent="0.35">
      <c r="A17" s="19"/>
      <c r="B17" s="326" t="str">
        <f>IF(T17="Kirjoita tähän mitä tehdään","Muu maksu: *Rakennusselostus puuttuu","Muu maksu:")</f>
        <v>Muu maksu:</v>
      </c>
      <c r="C17" s="176"/>
      <c r="D17" s="171"/>
      <c r="E17" s="172"/>
      <c r="F17" s="245"/>
      <c r="G17" s="172"/>
      <c r="H17" s="266">
        <f>G17*E17</f>
        <v>0</v>
      </c>
      <c r="I17" s="172"/>
      <c r="J17" s="172"/>
      <c r="K17" s="172"/>
      <c r="L17" s="266">
        <f>H17+I17+J17*K17</f>
        <v>0</v>
      </c>
      <c r="M17" s="141"/>
      <c r="N17" s="183"/>
      <c r="O17" s="172"/>
      <c r="P17" s="173">
        <f>N17*20+O17*60</f>
        <v>0</v>
      </c>
      <c r="Q17" s="184"/>
      <c r="R17" s="185"/>
      <c r="S17" s="61">
        <f t="shared" si="3"/>
        <v>0</v>
      </c>
      <c r="T17" s="18" t="str" cm="1">
        <f t="array" ref="T17">IF(S17:S17=0,"Ei toimenpiteitä","Kirjoita tähän mitä tehdään")</f>
        <v>Ei toimenpiteitä</v>
      </c>
      <c r="U17" s="19"/>
      <c r="V17" s="1"/>
      <c r="W17" s="1"/>
    </row>
    <row r="18" spans="1:23" s="56" customFormat="1" x14ac:dyDescent="0.35">
      <c r="A18" s="28" t="s">
        <v>67</v>
      </c>
      <c r="B18" s="29"/>
      <c r="C18" s="29"/>
      <c r="D18" s="137"/>
      <c r="E18" s="137"/>
      <c r="F18" s="57"/>
      <c r="G18" s="137"/>
      <c r="H18" s="137"/>
      <c r="I18" s="137"/>
      <c r="J18" s="137"/>
      <c r="K18" s="137"/>
      <c r="L18" s="142"/>
      <c r="M18" s="143"/>
      <c r="N18" s="144"/>
      <c r="O18" s="137"/>
      <c r="P18" s="137"/>
      <c r="Q18" s="137"/>
      <c r="R18" s="145"/>
      <c r="S18" s="61">
        <f t="shared" si="3"/>
        <v>0</v>
      </c>
      <c r="T18" s="79"/>
      <c r="U18" s="19"/>
      <c r="V18" s="41"/>
      <c r="W18" s="41"/>
    </row>
    <row r="19" spans="1:23" x14ac:dyDescent="0.35">
      <c r="A19" s="15" t="s">
        <v>98</v>
      </c>
      <c r="B19" s="16"/>
      <c r="C19" s="16"/>
      <c r="D19" s="138"/>
      <c r="E19" s="138"/>
      <c r="F19" s="16"/>
      <c r="G19" s="138"/>
      <c r="H19" s="138"/>
      <c r="I19" s="138"/>
      <c r="J19" s="138"/>
      <c r="K19" s="140"/>
      <c r="L19" s="146"/>
      <c r="M19" s="141"/>
      <c r="N19" s="147"/>
      <c r="O19" s="140"/>
      <c r="P19" s="272"/>
      <c r="Q19" s="272"/>
      <c r="R19" s="149"/>
      <c r="S19" s="61">
        <f t="shared" si="3"/>
        <v>0</v>
      </c>
      <c r="T19" s="247"/>
      <c r="U19" s="19"/>
      <c r="V19" s="1"/>
      <c r="W19" s="1"/>
    </row>
    <row r="20" spans="1:23" x14ac:dyDescent="0.35">
      <c r="A20" s="19"/>
      <c r="B20" s="332" t="str">
        <f>IF(T20="Kirjoita tähän mitä tehdään","Tontin raivaus *Rakennusselostus puuttuu","Tontin raivaus")</f>
        <v>Tontin raivaus</v>
      </c>
      <c r="C20" s="333"/>
      <c r="D20" s="165"/>
      <c r="E20" s="166"/>
      <c r="F20" s="244"/>
      <c r="G20" s="166"/>
      <c r="H20" s="264">
        <f>G20*E20</f>
        <v>0</v>
      </c>
      <c r="I20" s="166"/>
      <c r="J20" s="166"/>
      <c r="K20" s="166"/>
      <c r="L20" s="264">
        <f t="shared" ref="L20:L37" si="4">H20+I20+J20*K20</f>
        <v>0</v>
      </c>
      <c r="M20" s="150"/>
      <c r="N20" s="177"/>
      <c r="O20" s="166"/>
      <c r="P20" s="167">
        <f t="shared" ref="P20:P37" si="5">N20*20+O20*60</f>
        <v>0</v>
      </c>
      <c r="Q20" s="178"/>
      <c r="R20" s="179"/>
      <c r="S20" s="61">
        <f t="shared" si="3"/>
        <v>0</v>
      </c>
      <c r="T20" s="18" t="str" cm="1">
        <f t="array" ref="T20">IF(S20:S20=0,"Ei toimenpiteitä","Kirjoita tähän mitä tehdään")</f>
        <v>Ei toimenpiteitä</v>
      </c>
      <c r="U20" s="19"/>
      <c r="V20" s="1"/>
      <c r="W20" s="1"/>
    </row>
    <row r="21" spans="1:23" x14ac:dyDescent="0.35">
      <c r="A21" s="19"/>
      <c r="B21" s="329" t="str">
        <f>IF(T21="Kirjoita tähän mitä tehdään","Tontin maankaivutyöt *Rakennusselostus puuttuu","Tontin maankaivutyöt")</f>
        <v>Tontin maankaivutyöt</v>
      </c>
      <c r="C21" s="330"/>
      <c r="D21" s="168"/>
      <c r="E21" s="169"/>
      <c r="F21" s="245"/>
      <c r="G21" s="169"/>
      <c r="H21" s="265">
        <f t="shared" ref="H21:H37" si="6">G21*E21</f>
        <v>0</v>
      </c>
      <c r="I21" s="169"/>
      <c r="J21" s="169"/>
      <c r="K21" s="169"/>
      <c r="L21" s="265">
        <f t="shared" si="4"/>
        <v>0</v>
      </c>
      <c r="M21" s="150"/>
      <c r="N21" s="180"/>
      <c r="O21" s="169"/>
      <c r="P21" s="170">
        <f t="shared" si="5"/>
        <v>0</v>
      </c>
      <c r="Q21" s="181"/>
      <c r="R21" s="182"/>
      <c r="S21" s="61">
        <f t="shared" si="3"/>
        <v>0</v>
      </c>
      <c r="T21" s="18" t="str" cm="1">
        <f t="array" ref="T21">IF(S21:S21=0,"Ei toimenpiteitä","Kirjoita tähän mitä tehdään")</f>
        <v>Ei toimenpiteitä</v>
      </c>
      <c r="U21" s="19"/>
      <c r="V21" s="1"/>
      <c r="W21" s="1"/>
    </row>
    <row r="22" spans="1:23" x14ac:dyDescent="0.35">
      <c r="A22" s="19"/>
      <c r="B22" s="329" t="str">
        <f>IF(T22="Kirjoita tähän mitä tehdään","Maa-aineksen kuljetus *Rakennusselostus puuttuu","Maa-aineksen kuljetus")</f>
        <v>Maa-aineksen kuljetus</v>
      </c>
      <c r="C22" s="330"/>
      <c r="D22" s="168"/>
      <c r="E22" s="169"/>
      <c r="F22" s="245"/>
      <c r="G22" s="169"/>
      <c r="H22" s="265">
        <f t="shared" si="6"/>
        <v>0</v>
      </c>
      <c r="I22" s="169"/>
      <c r="J22" s="169"/>
      <c r="K22" s="169"/>
      <c r="L22" s="265">
        <f t="shared" si="4"/>
        <v>0</v>
      </c>
      <c r="M22" s="141"/>
      <c r="N22" s="180"/>
      <c r="O22" s="169"/>
      <c r="P22" s="170">
        <f t="shared" si="5"/>
        <v>0</v>
      </c>
      <c r="Q22" s="181"/>
      <c r="R22" s="182"/>
      <c r="S22" s="61">
        <f t="shared" si="3"/>
        <v>0</v>
      </c>
      <c r="T22" s="18" t="str" cm="1">
        <f t="array" ref="T22">IF(S22:S22=0,"Ei toimenpiteitä","Kirjoita tähän mitä tehdään")</f>
        <v>Ei toimenpiteitä</v>
      </c>
      <c r="U22" s="19"/>
      <c r="V22" s="1"/>
      <c r="W22" s="1"/>
    </row>
    <row r="23" spans="1:23" x14ac:dyDescent="0.35">
      <c r="A23" s="19"/>
      <c r="B23" s="329" t="str">
        <f>IF(T23="Kirjoita tähän mitä tehdään","Täyttömateriaalin kuljetus *Rakennusselostus puuttuu","Täyttömateriaalin kuljetus")</f>
        <v>Täyttömateriaalin kuljetus</v>
      </c>
      <c r="C23" s="330"/>
      <c r="D23" s="168"/>
      <c r="E23" s="169"/>
      <c r="F23" s="245"/>
      <c r="G23" s="169"/>
      <c r="H23" s="265">
        <f t="shared" si="6"/>
        <v>0</v>
      </c>
      <c r="I23" s="169"/>
      <c r="J23" s="169"/>
      <c r="K23" s="169"/>
      <c r="L23" s="265">
        <f t="shared" si="4"/>
        <v>0</v>
      </c>
      <c r="M23" s="141"/>
      <c r="N23" s="180"/>
      <c r="O23" s="169"/>
      <c r="P23" s="170">
        <f t="shared" si="5"/>
        <v>0</v>
      </c>
      <c r="Q23" s="181"/>
      <c r="R23" s="182"/>
      <c r="S23" s="61">
        <f t="shared" si="3"/>
        <v>0</v>
      </c>
      <c r="T23" s="18" t="str" cm="1">
        <f t="array" ref="T23">IF(S23:S23=0,"Ei toimenpiteitä","Kirjoita tähän mitä tehdään")</f>
        <v>Ei toimenpiteitä</v>
      </c>
      <c r="U23" s="19"/>
      <c r="V23" s="1"/>
      <c r="W23" s="1"/>
    </row>
    <row r="24" spans="1:23" x14ac:dyDescent="0.35">
      <c r="A24" s="19"/>
      <c r="B24" s="329" t="str">
        <f>IF(T24="Kirjoita tähän mitä tehdään","Viheralueiden rakentaminen *Rakennusselostus puuttuu","Viheralueiden rakentaminen")</f>
        <v>Viheralueiden rakentaminen</v>
      </c>
      <c r="C24" s="330"/>
      <c r="D24" s="168"/>
      <c r="E24" s="169"/>
      <c r="F24" s="245"/>
      <c r="G24" s="169"/>
      <c r="H24" s="265">
        <f t="shared" si="6"/>
        <v>0</v>
      </c>
      <c r="I24" s="169"/>
      <c r="J24" s="169"/>
      <c r="K24" s="169"/>
      <c r="L24" s="265">
        <f t="shared" si="4"/>
        <v>0</v>
      </c>
      <c r="M24" s="141"/>
      <c r="N24" s="180"/>
      <c r="O24" s="169"/>
      <c r="P24" s="170">
        <f t="shared" si="5"/>
        <v>0</v>
      </c>
      <c r="Q24" s="181"/>
      <c r="R24" s="182"/>
      <c r="S24" s="61">
        <f t="shared" si="3"/>
        <v>0</v>
      </c>
      <c r="T24" s="18" t="str" cm="1">
        <f t="array" ref="T24">IF(S24:S24=0,"Ei toimenpiteitä","Kirjoita tähän mitä tehdään")</f>
        <v>Ei toimenpiteitä</v>
      </c>
      <c r="U24" s="19"/>
      <c r="V24" s="1"/>
      <c r="W24" s="1"/>
    </row>
    <row r="25" spans="1:23" x14ac:dyDescent="0.35">
      <c r="A25" s="19"/>
      <c r="B25" s="329" t="str">
        <f>IF(T25="Kirjoita tähän mitä tehdään","Pihateiden pohjarakenteet *Rakennusselostus puuttuu","Pihateiden pohjarakenteet")</f>
        <v>Pihateiden pohjarakenteet</v>
      </c>
      <c r="C25" s="330"/>
      <c r="D25" s="168"/>
      <c r="E25" s="169"/>
      <c r="F25" s="245"/>
      <c r="G25" s="169"/>
      <c r="H25" s="265">
        <f t="shared" si="6"/>
        <v>0</v>
      </c>
      <c r="I25" s="169"/>
      <c r="J25" s="169"/>
      <c r="K25" s="169"/>
      <c r="L25" s="265">
        <f t="shared" si="4"/>
        <v>0</v>
      </c>
      <c r="M25" s="141"/>
      <c r="N25" s="180"/>
      <c r="O25" s="169"/>
      <c r="P25" s="170">
        <f t="shared" si="5"/>
        <v>0</v>
      </c>
      <c r="Q25" s="181"/>
      <c r="R25" s="182"/>
      <c r="S25" s="61">
        <f t="shared" si="3"/>
        <v>0</v>
      </c>
      <c r="T25" s="18" t="str" cm="1">
        <f t="array" ref="T25">IF(S25:S25=0,"Ei toimenpiteitä","Kirjoita tähän mitä tehdään")</f>
        <v>Ei toimenpiteitä</v>
      </c>
      <c r="U25" s="19"/>
      <c r="V25" s="1"/>
      <c r="W25" s="1"/>
    </row>
    <row r="26" spans="1:23" x14ac:dyDescent="0.35">
      <c r="A26" s="19"/>
      <c r="B26" s="329" t="str">
        <f>IF(T26="Kirjoita tähän mitä tehdään","Pihateiden pintarakenteet *Rakennusselostus puuttuu","Pihateiden pintarakenteet")</f>
        <v>Pihateiden pintarakenteet</v>
      </c>
      <c r="C26" s="330"/>
      <c r="D26" s="168"/>
      <c r="E26" s="169"/>
      <c r="F26" s="245"/>
      <c r="G26" s="169"/>
      <c r="H26" s="265">
        <f t="shared" si="6"/>
        <v>0</v>
      </c>
      <c r="I26" s="169"/>
      <c r="J26" s="169"/>
      <c r="K26" s="169"/>
      <c r="L26" s="265">
        <f t="shared" si="4"/>
        <v>0</v>
      </c>
      <c r="M26" s="141"/>
      <c r="N26" s="180"/>
      <c r="O26" s="169"/>
      <c r="P26" s="170">
        <f t="shared" si="5"/>
        <v>0</v>
      </c>
      <c r="Q26" s="181"/>
      <c r="R26" s="182"/>
      <c r="S26" s="61">
        <f t="shared" si="3"/>
        <v>0</v>
      </c>
      <c r="T26" s="18" t="str" cm="1">
        <f t="array" ref="T26">IF(S26:S26=0,"Ei toimenpiteitä","Kirjoita tähän mitä tehdään")</f>
        <v>Ei toimenpiteitä</v>
      </c>
      <c r="U26" s="19"/>
      <c r="V26" s="1"/>
      <c r="W26" s="1"/>
    </row>
    <row r="27" spans="1:23" x14ac:dyDescent="0.35">
      <c r="A27" s="19"/>
      <c r="B27" s="331" t="str">
        <f>IF(T27="Kirjoita tähän mitä tehdään","Paikoitusalueen rakentaminen *Rakennusselostus puuttuu","Paikoitusalueen rakentaminen")</f>
        <v>Paikoitusalueen rakentaminen</v>
      </c>
      <c r="C27" s="330"/>
      <c r="D27" s="168"/>
      <c r="E27" s="169"/>
      <c r="F27" s="245"/>
      <c r="G27" s="169"/>
      <c r="H27" s="265">
        <f t="shared" si="6"/>
        <v>0</v>
      </c>
      <c r="I27" s="169"/>
      <c r="J27" s="169"/>
      <c r="K27" s="169"/>
      <c r="L27" s="265">
        <f t="shared" si="4"/>
        <v>0</v>
      </c>
      <c r="M27" s="141"/>
      <c r="N27" s="180"/>
      <c r="O27" s="169"/>
      <c r="P27" s="170">
        <f t="shared" si="5"/>
        <v>0</v>
      </c>
      <c r="Q27" s="181"/>
      <c r="R27" s="182"/>
      <c r="S27" s="61">
        <f t="shared" si="3"/>
        <v>0</v>
      </c>
      <c r="T27" s="18" t="str" cm="1">
        <f t="array" ref="T27">IF(S27:S27=0,"Ei toimenpiteitä","Kirjoita tähän mitä tehdään")</f>
        <v>Ei toimenpiteitä</v>
      </c>
      <c r="U27" s="19"/>
      <c r="V27" s="1"/>
      <c r="W27" s="1"/>
    </row>
    <row r="28" spans="1:23" x14ac:dyDescent="0.35">
      <c r="A28" s="19"/>
      <c r="B28" s="329" t="str">
        <f>IF(T28="Kirjoita tähän mitä tehdään","Aidat *Rakennusselostus puuttuu","Aidat")</f>
        <v>Aidat</v>
      </c>
      <c r="C28" s="330"/>
      <c r="D28" s="168"/>
      <c r="E28" s="169"/>
      <c r="F28" s="245"/>
      <c r="G28" s="169"/>
      <c r="H28" s="265">
        <f t="shared" si="6"/>
        <v>0</v>
      </c>
      <c r="I28" s="169"/>
      <c r="J28" s="169"/>
      <c r="K28" s="169"/>
      <c r="L28" s="265">
        <f t="shared" si="4"/>
        <v>0</v>
      </c>
      <c r="M28" s="141"/>
      <c r="N28" s="180"/>
      <c r="O28" s="169"/>
      <c r="P28" s="170">
        <f t="shared" si="5"/>
        <v>0</v>
      </c>
      <c r="Q28" s="181"/>
      <c r="R28" s="182"/>
      <c r="S28" s="61">
        <f t="shared" si="3"/>
        <v>0</v>
      </c>
      <c r="T28" s="18" t="str" cm="1">
        <f t="array" ref="T28">IF(S28:S28=0,"Ei toimenpiteitä","Kirjoita tähän mitä tehdään")</f>
        <v>Ei toimenpiteitä</v>
      </c>
      <c r="U28" s="19"/>
      <c r="V28" s="1"/>
      <c r="W28" s="1"/>
    </row>
    <row r="29" spans="1:23" x14ac:dyDescent="0.35">
      <c r="A29" s="19"/>
      <c r="B29" s="329" t="str">
        <f>IF(T29="Kirjoita tähän mitä tehdään","Piha-alueen valaisimet *Rakennusselostus puuttuu","Piha-alueen valaisimet")</f>
        <v>Piha-alueen valaisimet</v>
      </c>
      <c r="C29" s="330"/>
      <c r="D29" s="168"/>
      <c r="E29" s="169"/>
      <c r="F29" s="245"/>
      <c r="G29" s="169"/>
      <c r="H29" s="265">
        <f t="shared" si="6"/>
        <v>0</v>
      </c>
      <c r="I29" s="169"/>
      <c r="J29" s="169"/>
      <c r="K29" s="169"/>
      <c r="L29" s="265">
        <f t="shared" si="4"/>
        <v>0</v>
      </c>
      <c r="M29" s="141"/>
      <c r="N29" s="180"/>
      <c r="O29" s="169"/>
      <c r="P29" s="170">
        <f t="shared" si="5"/>
        <v>0</v>
      </c>
      <c r="Q29" s="181"/>
      <c r="R29" s="182"/>
      <c r="S29" s="61">
        <f t="shared" si="3"/>
        <v>0</v>
      </c>
      <c r="T29" s="18" t="str" cm="1">
        <f t="array" ref="T29">IF(S29:S29=0,"Ei toimenpiteitä","Kirjoita tähän mitä tehdään")</f>
        <v>Ei toimenpiteitä</v>
      </c>
      <c r="U29" s="19"/>
      <c r="V29" s="1"/>
      <c r="W29" s="1"/>
    </row>
    <row r="30" spans="1:23" x14ac:dyDescent="0.35">
      <c r="A30" s="19"/>
      <c r="B30" s="329" t="str">
        <f>IF(T30="Kirjoita tähän mitä tehdään","Postilaatikot *Rakennusselostus puuttuu","Postilaatikot")</f>
        <v>Postilaatikot</v>
      </c>
      <c r="C30" s="330"/>
      <c r="D30" s="168"/>
      <c r="E30" s="169"/>
      <c r="F30" s="245"/>
      <c r="G30" s="169"/>
      <c r="H30" s="265">
        <f t="shared" si="6"/>
        <v>0</v>
      </c>
      <c r="I30" s="169"/>
      <c r="J30" s="169"/>
      <c r="K30" s="169"/>
      <c r="L30" s="265">
        <f t="shared" si="4"/>
        <v>0</v>
      </c>
      <c r="M30" s="141"/>
      <c r="N30" s="180"/>
      <c r="O30" s="169"/>
      <c r="P30" s="170">
        <f t="shared" si="5"/>
        <v>0</v>
      </c>
      <c r="Q30" s="181"/>
      <c r="R30" s="182"/>
      <c r="S30" s="61">
        <f t="shared" si="3"/>
        <v>0</v>
      </c>
      <c r="T30" s="18" t="str" cm="1">
        <f t="array" ref="T30">IF(S30:S30=0,"Ei toimenpiteitä","Kirjoita tähän mitä tehdään")</f>
        <v>Ei toimenpiteitä</v>
      </c>
      <c r="U30" s="19"/>
      <c r="V30" s="1"/>
      <c r="W30" s="1"/>
    </row>
    <row r="31" spans="1:23" x14ac:dyDescent="0.35">
      <c r="A31" s="19"/>
      <c r="B31" s="329" t="str">
        <f>IF(T31="Kirjoita tähän mitä tehdään","Pihavarastot *Rakennusselostus puuttuu","Pihavarastot")</f>
        <v>Pihavarastot</v>
      </c>
      <c r="C31" s="330"/>
      <c r="D31" s="168"/>
      <c r="E31" s="169"/>
      <c r="F31" s="245"/>
      <c r="G31" s="169"/>
      <c r="H31" s="265">
        <f t="shared" si="6"/>
        <v>0</v>
      </c>
      <c r="I31" s="169"/>
      <c r="J31" s="169"/>
      <c r="K31" s="169"/>
      <c r="L31" s="265">
        <f t="shared" si="4"/>
        <v>0</v>
      </c>
      <c r="M31" s="141"/>
      <c r="N31" s="180"/>
      <c r="O31" s="169"/>
      <c r="P31" s="170">
        <f t="shared" si="5"/>
        <v>0</v>
      </c>
      <c r="Q31" s="181"/>
      <c r="R31" s="182"/>
      <c r="S31" s="61">
        <f t="shared" si="3"/>
        <v>0</v>
      </c>
      <c r="T31" s="18" t="str" cm="1">
        <f t="array" ref="T31">IF(S31:S31=0,"Ei toimenpiteitä","Kirjoita tähän mitä tehdään")</f>
        <v>Ei toimenpiteitä</v>
      </c>
      <c r="U31" s="19"/>
      <c r="V31" s="1"/>
      <c r="W31" s="1"/>
    </row>
    <row r="32" spans="1:23" x14ac:dyDescent="0.35">
      <c r="A32" s="19"/>
      <c r="B32" s="329" t="str">
        <f>IF(T32="Kirjoita tähän mitä tehdään","Terassit *Rakennusselostus puuttuu","Terassit")</f>
        <v>Terassit</v>
      </c>
      <c r="C32" s="330"/>
      <c r="D32" s="168"/>
      <c r="E32" s="169"/>
      <c r="F32" s="245"/>
      <c r="G32" s="169"/>
      <c r="H32" s="265">
        <f t="shared" si="6"/>
        <v>0</v>
      </c>
      <c r="I32" s="169"/>
      <c r="J32" s="169"/>
      <c r="K32" s="169"/>
      <c r="L32" s="265">
        <f t="shared" si="4"/>
        <v>0</v>
      </c>
      <c r="M32" s="141"/>
      <c r="N32" s="180"/>
      <c r="O32" s="169"/>
      <c r="P32" s="170">
        <f t="shared" si="5"/>
        <v>0</v>
      </c>
      <c r="Q32" s="181"/>
      <c r="R32" s="182"/>
      <c r="S32" s="61">
        <f t="shared" si="3"/>
        <v>0</v>
      </c>
      <c r="T32" s="18" t="str" cm="1">
        <f t="array" ref="T32">IF(S32:S32=0,"Ei toimenpiteitä","Kirjoita tähän mitä tehdään")</f>
        <v>Ei toimenpiteitä</v>
      </c>
      <c r="U32" s="19"/>
      <c r="V32" s="1"/>
      <c r="W32" s="1"/>
    </row>
    <row r="33" spans="1:23" x14ac:dyDescent="0.35">
      <c r="A33" s="19"/>
      <c r="B33" s="329" t="str">
        <f>IF(T33="Kirjoita tähän mitä tehdään","Muurit *Rakennusselostus puuttuu","Muurit")</f>
        <v>Muurit</v>
      </c>
      <c r="C33" s="330"/>
      <c r="D33" s="168"/>
      <c r="E33" s="169"/>
      <c r="F33" s="245"/>
      <c r="G33" s="169"/>
      <c r="H33" s="265">
        <f t="shared" si="6"/>
        <v>0</v>
      </c>
      <c r="I33" s="169"/>
      <c r="J33" s="169"/>
      <c r="K33" s="169"/>
      <c r="L33" s="265">
        <f t="shared" si="4"/>
        <v>0</v>
      </c>
      <c r="M33" s="141"/>
      <c r="N33" s="180"/>
      <c r="O33" s="169"/>
      <c r="P33" s="170">
        <f t="shared" si="5"/>
        <v>0</v>
      </c>
      <c r="Q33" s="181"/>
      <c r="R33" s="182"/>
      <c r="S33" s="61">
        <f t="shared" si="3"/>
        <v>0</v>
      </c>
      <c r="T33" s="18" t="str" cm="1">
        <f t="array" ref="T33">IF(S33:S33=0,"Ei toimenpiteitä","Kirjoita tähän mitä tehdään")</f>
        <v>Ei toimenpiteitä</v>
      </c>
      <c r="U33" s="19"/>
      <c r="V33" s="1"/>
      <c r="W33" s="1"/>
    </row>
    <row r="34" spans="1:23" x14ac:dyDescent="0.35">
      <c r="A34" s="19"/>
      <c r="B34" s="329" t="str">
        <f>IF(T34="Kirjoita tähän mitä tehdään","Portaat ja kaiteet *Rakennusselostus puuttuu","Portaat ja kaiteet")</f>
        <v>Portaat ja kaiteet</v>
      </c>
      <c r="C34" s="330"/>
      <c r="D34" s="168"/>
      <c r="E34" s="169"/>
      <c r="F34" s="245"/>
      <c r="G34" s="169"/>
      <c r="H34" s="265">
        <f t="shared" si="6"/>
        <v>0</v>
      </c>
      <c r="I34" s="169"/>
      <c r="J34" s="169"/>
      <c r="K34" s="169"/>
      <c r="L34" s="265">
        <f t="shared" si="4"/>
        <v>0</v>
      </c>
      <c r="M34" s="141"/>
      <c r="N34" s="180"/>
      <c r="O34" s="169"/>
      <c r="P34" s="170">
        <f t="shared" si="5"/>
        <v>0</v>
      </c>
      <c r="Q34" s="181"/>
      <c r="R34" s="182"/>
      <c r="S34" s="61">
        <f t="shared" si="3"/>
        <v>0</v>
      </c>
      <c r="T34" s="18" t="str" cm="1">
        <f t="array" ref="T34">IF(S34:S34=0,"Ei toimenpiteitä","Kirjoita tähän mitä tehdään")</f>
        <v>Ei toimenpiteitä</v>
      </c>
      <c r="U34" s="19"/>
      <c r="V34" s="1"/>
      <c r="W34" s="1"/>
    </row>
    <row r="35" spans="1:23" x14ac:dyDescent="0.35">
      <c r="A35" s="19"/>
      <c r="B35" s="329" t="str">
        <f>IF(T35="Kirjoita tähän mitä tehdään","Katokset *Rakennusselostus puuttuu","Katokset")</f>
        <v>Katokset</v>
      </c>
      <c r="C35" s="330"/>
      <c r="D35" s="168"/>
      <c r="E35" s="169"/>
      <c r="F35" s="245"/>
      <c r="G35" s="169"/>
      <c r="H35" s="265">
        <f t="shared" si="6"/>
        <v>0</v>
      </c>
      <c r="I35" s="169"/>
      <c r="J35" s="169"/>
      <c r="K35" s="169"/>
      <c r="L35" s="265">
        <f t="shared" si="4"/>
        <v>0</v>
      </c>
      <c r="M35" s="141"/>
      <c r="N35" s="180"/>
      <c r="O35" s="169"/>
      <c r="P35" s="170">
        <f t="shared" si="5"/>
        <v>0</v>
      </c>
      <c r="Q35" s="181"/>
      <c r="R35" s="182"/>
      <c r="S35" s="61">
        <f t="shared" si="3"/>
        <v>0</v>
      </c>
      <c r="T35" s="18" t="str" cm="1">
        <f t="array" ref="T35">IF(S35:S35=0,"Ei toimenpiteitä","Kirjoita tähän mitä tehdään")</f>
        <v>Ei toimenpiteitä</v>
      </c>
      <c r="U35" s="19"/>
      <c r="V35" s="1"/>
      <c r="W35" s="1"/>
    </row>
    <row r="36" spans="1:23" x14ac:dyDescent="0.35">
      <c r="A36" s="19"/>
      <c r="B36" s="293" t="str">
        <f>IF(T36="Kirjoita tähän mitä tehdään","Muu rakennusosa: *Rakennusselostus puuttuu","Muu rakennusosa:")</f>
        <v>Muu rakennusosa:</v>
      </c>
      <c r="C36" s="175"/>
      <c r="D36" s="168"/>
      <c r="E36" s="169"/>
      <c r="F36" s="245"/>
      <c r="G36" s="169"/>
      <c r="H36" s="265">
        <f t="shared" si="6"/>
        <v>0</v>
      </c>
      <c r="I36" s="169"/>
      <c r="J36" s="169"/>
      <c r="K36" s="169"/>
      <c r="L36" s="265">
        <f t="shared" si="4"/>
        <v>0</v>
      </c>
      <c r="M36" s="141"/>
      <c r="N36" s="180"/>
      <c r="O36" s="169"/>
      <c r="P36" s="170">
        <f t="shared" si="5"/>
        <v>0</v>
      </c>
      <c r="Q36" s="181"/>
      <c r="R36" s="182"/>
      <c r="S36" s="61">
        <f t="shared" si="3"/>
        <v>0</v>
      </c>
      <c r="T36" s="18" t="str" cm="1">
        <f t="array" ref="T36">IF(S36:S36=0,"Ei toimenpiteitä","Kirjoita tähän mitä tehdään")</f>
        <v>Ei toimenpiteitä</v>
      </c>
      <c r="U36" s="19"/>
      <c r="V36" s="1"/>
      <c r="W36" s="1"/>
    </row>
    <row r="37" spans="1:23" x14ac:dyDescent="0.35">
      <c r="A37" s="19"/>
      <c r="B37" s="305" t="str">
        <f>IF(T37="Kirjoita tähän mitä tehdään","Muu rakennusosa: *Rakennusselostus puuttuu","Muu rakennusosa:")</f>
        <v>Muu rakennusosa:</v>
      </c>
      <c r="C37" s="176"/>
      <c r="D37" s="171"/>
      <c r="E37" s="172"/>
      <c r="F37" s="245"/>
      <c r="G37" s="172"/>
      <c r="H37" s="266">
        <f t="shared" si="6"/>
        <v>0</v>
      </c>
      <c r="I37" s="172"/>
      <c r="J37" s="172"/>
      <c r="K37" s="172"/>
      <c r="L37" s="266">
        <f t="shared" si="4"/>
        <v>0</v>
      </c>
      <c r="M37" s="141"/>
      <c r="N37" s="183"/>
      <c r="O37" s="172"/>
      <c r="P37" s="173">
        <f t="shared" si="5"/>
        <v>0</v>
      </c>
      <c r="Q37" s="184"/>
      <c r="R37" s="185"/>
      <c r="S37" s="61">
        <f t="shared" si="3"/>
        <v>0</v>
      </c>
      <c r="T37" s="18" t="str" cm="1">
        <f t="array" ref="T37">IF(S37:S37=0,"Ei toimenpiteitä","Kirjoita tähän mitä tehdään")</f>
        <v>Ei toimenpiteitä</v>
      </c>
      <c r="U37" s="19"/>
      <c r="V37" s="1"/>
      <c r="W37" s="1"/>
    </row>
    <row r="38" spans="1:23" s="56" customFormat="1" x14ac:dyDescent="0.35">
      <c r="A38" s="28" t="s">
        <v>77</v>
      </c>
      <c r="B38" s="29"/>
      <c r="C38" s="29"/>
      <c r="D38" s="137"/>
      <c r="E38" s="137"/>
      <c r="F38" s="57"/>
      <c r="G38" s="137"/>
      <c r="H38" s="137"/>
      <c r="I38" s="137"/>
      <c r="J38" s="137"/>
      <c r="K38" s="137"/>
      <c r="L38" s="142"/>
      <c r="M38" s="141"/>
      <c r="N38" s="144"/>
      <c r="O38" s="137"/>
      <c r="P38" s="137"/>
      <c r="Q38" s="137"/>
      <c r="R38" s="145"/>
      <c r="S38" s="61"/>
      <c r="T38" s="79"/>
      <c r="U38" s="19"/>
      <c r="V38" s="41"/>
      <c r="W38" s="41"/>
    </row>
    <row r="39" spans="1:23" x14ac:dyDescent="0.35">
      <c r="A39" s="32" t="s">
        <v>35</v>
      </c>
      <c r="B39" s="36"/>
      <c r="C39" s="37"/>
      <c r="D39" s="139"/>
      <c r="E39" s="140"/>
      <c r="F39" s="19"/>
      <c r="G39" s="140"/>
      <c r="H39" s="272"/>
      <c r="I39" s="138"/>
      <c r="J39" s="140"/>
      <c r="K39" s="140"/>
      <c r="L39" s="148"/>
      <c r="M39" s="141"/>
      <c r="N39" s="147"/>
      <c r="O39" s="140"/>
      <c r="P39" s="272"/>
      <c r="Q39" s="272"/>
      <c r="R39" s="149"/>
      <c r="S39" s="61"/>
      <c r="T39" s="247"/>
      <c r="U39" s="19"/>
      <c r="V39" s="1"/>
      <c r="W39" s="1"/>
    </row>
    <row r="40" spans="1:23" x14ac:dyDescent="0.35">
      <c r="A40" s="19"/>
      <c r="B40" s="332" t="str">
        <f>IF(T40="Kirjoita tähän mitä tehdään","Anturat (muotit, raudoitus ja valu) *Rakennusselostus puuttuu","Anturat (muotit, raudoitus ja valu)")</f>
        <v>Anturat (muotit, raudoitus ja valu)</v>
      </c>
      <c r="C40" s="333"/>
      <c r="D40" s="165"/>
      <c r="E40" s="166"/>
      <c r="F40" s="244"/>
      <c r="G40" s="166"/>
      <c r="H40" s="264">
        <f t="shared" ref="H40:H79" si="7">G40*E40</f>
        <v>0</v>
      </c>
      <c r="I40" s="166"/>
      <c r="J40" s="166"/>
      <c r="K40" s="166"/>
      <c r="L40" s="264">
        <f t="shared" ref="L40:L79" si="8">H40+I40+J40*K40</f>
        <v>0</v>
      </c>
      <c r="M40" s="141"/>
      <c r="N40" s="177"/>
      <c r="O40" s="166"/>
      <c r="P40" s="167">
        <f t="shared" ref="P40:P79" si="9">N40*20+O40*60</f>
        <v>0</v>
      </c>
      <c r="Q40" s="186"/>
      <c r="R40" s="179"/>
      <c r="S40" s="61">
        <f t="shared" si="3"/>
        <v>0</v>
      </c>
      <c r="T40" s="18" t="str" cm="1">
        <f t="array" ref="T40">IF(S40:S40=0,"Ei toimenpiteitä","Kirjoita tähän mitä tehdään")</f>
        <v>Ei toimenpiteitä</v>
      </c>
      <c r="U40" s="19"/>
      <c r="V40" s="1"/>
      <c r="W40" s="1"/>
    </row>
    <row r="41" spans="1:23" x14ac:dyDescent="0.35">
      <c r="A41" s="19"/>
      <c r="B41" s="329" t="str">
        <f>IF(T41="Kirjoita tähän mitä tehdään","Perusmuurit *Rakennusselostus puuttuu","Perusmuurit")</f>
        <v>Perusmuurit</v>
      </c>
      <c r="C41" s="330"/>
      <c r="D41" s="168"/>
      <c r="E41" s="169"/>
      <c r="F41" s="245"/>
      <c r="G41" s="169"/>
      <c r="H41" s="265">
        <f t="shared" si="7"/>
        <v>0</v>
      </c>
      <c r="I41" s="169"/>
      <c r="J41" s="169"/>
      <c r="K41" s="169"/>
      <c r="L41" s="265">
        <f t="shared" si="8"/>
        <v>0</v>
      </c>
      <c r="M41" s="141"/>
      <c r="N41" s="180"/>
      <c r="O41" s="169"/>
      <c r="P41" s="170">
        <f t="shared" si="9"/>
        <v>0</v>
      </c>
      <c r="Q41" s="187"/>
      <c r="R41" s="182"/>
      <c r="S41" s="61">
        <f t="shared" si="3"/>
        <v>0</v>
      </c>
      <c r="T41" s="18" t="str" cm="1">
        <f t="array" ref="T41">IF(S41:S41=0,"Ei toimenpiteitä","Kirjoita tähän mitä tehdään")</f>
        <v>Ei toimenpiteitä</v>
      </c>
      <c r="U41" s="19"/>
      <c r="V41" s="1"/>
      <c r="W41" s="1"/>
    </row>
    <row r="42" spans="1:23" x14ac:dyDescent="0.35">
      <c r="A42" s="19"/>
      <c r="B42" s="329" t="str">
        <f>IF(T42="Kirjoita tähän mitä tehdään","Pilarit *Rakennusselostus puuttuu","Pilarit")</f>
        <v>Pilarit</v>
      </c>
      <c r="C42" s="330"/>
      <c r="D42" s="168"/>
      <c r="E42" s="169"/>
      <c r="F42" s="245"/>
      <c r="G42" s="169"/>
      <c r="H42" s="265">
        <f t="shared" si="7"/>
        <v>0</v>
      </c>
      <c r="I42" s="169"/>
      <c r="J42" s="169"/>
      <c r="K42" s="169"/>
      <c r="L42" s="265">
        <f t="shared" si="8"/>
        <v>0</v>
      </c>
      <c r="M42" s="141"/>
      <c r="N42" s="180"/>
      <c r="O42" s="169"/>
      <c r="P42" s="170">
        <f t="shared" si="9"/>
        <v>0</v>
      </c>
      <c r="Q42" s="187"/>
      <c r="R42" s="182"/>
      <c r="S42" s="61">
        <f t="shared" si="3"/>
        <v>0</v>
      </c>
      <c r="T42" s="18" t="str" cm="1">
        <f t="array" ref="T42">IF(S42:S42=0,"Ei toimenpiteitä","Kirjoita tähän mitä tehdään")</f>
        <v>Ei toimenpiteitä</v>
      </c>
      <c r="U42" s="19"/>
      <c r="V42" s="1"/>
      <c r="W42" s="1"/>
    </row>
    <row r="43" spans="1:23" x14ac:dyDescent="0.35">
      <c r="A43" s="19"/>
      <c r="B43" s="329" t="str">
        <f>IF(T43="Kirjoita tähän mitä tehdään","Palkit *Rakennusselostus puuttuu","Palkit")</f>
        <v>Palkit</v>
      </c>
      <c r="C43" s="330"/>
      <c r="D43" s="168"/>
      <c r="E43" s="169"/>
      <c r="F43" s="245"/>
      <c r="G43" s="169"/>
      <c r="H43" s="265">
        <f t="shared" si="7"/>
        <v>0</v>
      </c>
      <c r="I43" s="169"/>
      <c r="J43" s="169"/>
      <c r="K43" s="169"/>
      <c r="L43" s="265">
        <f t="shared" si="8"/>
        <v>0</v>
      </c>
      <c r="M43" s="141"/>
      <c r="N43" s="180"/>
      <c r="O43" s="169"/>
      <c r="P43" s="170">
        <f t="shared" si="9"/>
        <v>0</v>
      </c>
      <c r="Q43" s="181"/>
      <c r="R43" s="182"/>
      <c r="S43" s="61">
        <f t="shared" si="3"/>
        <v>0</v>
      </c>
      <c r="T43" s="18" t="str" cm="1">
        <f t="array" ref="T43">IF(S43:S43=0,"Ei toimenpiteitä","Kirjoita tähän mitä tehdään")</f>
        <v>Ei toimenpiteitä</v>
      </c>
      <c r="U43" s="19"/>
      <c r="V43" s="1"/>
      <c r="W43" s="1"/>
    </row>
    <row r="44" spans="1:23" x14ac:dyDescent="0.35">
      <c r="A44" s="19"/>
      <c r="B44" s="329" t="str">
        <f>IF(T44="Kirjoita tähän mitä tehdään","Perustusten sisäpuoliset täytöt *Rakennusselostus puuttuu","Perustusten sisäpuoliset täytöt")</f>
        <v>Perustusten sisäpuoliset täytöt</v>
      </c>
      <c r="C44" s="330"/>
      <c r="D44" s="168"/>
      <c r="E44" s="169"/>
      <c r="F44" s="245"/>
      <c r="G44" s="169"/>
      <c r="H44" s="265">
        <f t="shared" si="7"/>
        <v>0</v>
      </c>
      <c r="I44" s="169"/>
      <c r="J44" s="169"/>
      <c r="K44" s="169"/>
      <c r="L44" s="265">
        <f t="shared" si="8"/>
        <v>0</v>
      </c>
      <c r="M44" s="141"/>
      <c r="N44" s="180"/>
      <c r="O44" s="169"/>
      <c r="P44" s="170">
        <f t="shared" si="9"/>
        <v>0</v>
      </c>
      <c r="Q44" s="181"/>
      <c r="R44" s="182"/>
      <c r="S44" s="61">
        <f t="shared" si="3"/>
        <v>0</v>
      </c>
      <c r="T44" s="18" t="str" cm="1">
        <f t="array" ref="T44">IF(S44:S44=0,"Ei toimenpiteitä","Kirjoita tähän mitä tehdään")</f>
        <v>Ei toimenpiteitä</v>
      </c>
      <c r="U44" s="19"/>
      <c r="V44" s="1"/>
      <c r="W44" s="1"/>
    </row>
    <row r="45" spans="1:23" x14ac:dyDescent="0.35">
      <c r="A45" s="19"/>
      <c r="B45" s="305" t="str">
        <f>IF(T45="Kirjoita tähän mitä tehdään","Muu rakenne: *Rakennusselostus puuttuu","Muu rakenne:")</f>
        <v>Muu rakenne:</v>
      </c>
      <c r="C45" s="176"/>
      <c r="D45" s="171"/>
      <c r="E45" s="172"/>
      <c r="F45" s="246"/>
      <c r="G45" s="172"/>
      <c r="H45" s="266">
        <f t="shared" si="7"/>
        <v>0</v>
      </c>
      <c r="I45" s="172"/>
      <c r="J45" s="172"/>
      <c r="K45" s="172"/>
      <c r="L45" s="266">
        <f t="shared" si="8"/>
        <v>0</v>
      </c>
      <c r="M45" s="141"/>
      <c r="N45" s="183"/>
      <c r="O45" s="172"/>
      <c r="P45" s="173">
        <f t="shared" si="9"/>
        <v>0</v>
      </c>
      <c r="Q45" s="184"/>
      <c r="R45" s="185"/>
      <c r="S45" s="61">
        <f t="shared" si="3"/>
        <v>0</v>
      </c>
      <c r="T45" s="18" t="str" cm="1">
        <f t="array" ref="T45">IF(S45:S45=0,"Ei toimenpiteitä","Kirjoita tähän mitä tehdään")</f>
        <v>Ei toimenpiteitä</v>
      </c>
      <c r="U45" s="19"/>
      <c r="V45" s="1"/>
      <c r="W45" s="1"/>
    </row>
    <row r="46" spans="1:23" x14ac:dyDescent="0.35">
      <c r="A46" s="32" t="s">
        <v>47</v>
      </c>
      <c r="B46" s="36"/>
      <c r="C46" s="37"/>
      <c r="D46" s="139"/>
      <c r="E46" s="140"/>
      <c r="F46" s="19"/>
      <c r="G46" s="140"/>
      <c r="H46" s="272"/>
      <c r="I46" s="272"/>
      <c r="J46" s="140"/>
      <c r="K46" s="140"/>
      <c r="L46" s="148"/>
      <c r="M46" s="141"/>
      <c r="N46" s="147"/>
      <c r="O46" s="140"/>
      <c r="P46" s="272"/>
      <c r="Q46" s="272"/>
      <c r="R46" s="149"/>
      <c r="S46" s="61"/>
      <c r="T46" s="247"/>
      <c r="U46" s="19"/>
      <c r="V46" s="1"/>
      <c r="W46" s="1"/>
    </row>
    <row r="47" spans="1:23" x14ac:dyDescent="0.35">
      <c r="A47" s="19"/>
      <c r="B47" s="332" t="str">
        <f>IF(T47="Kirjoita tähän mitä tehdään","Kantavat väliseinät *Rakennusselostus puuttuu","Kantavat väliseinät")</f>
        <v>Kantavat väliseinät</v>
      </c>
      <c r="C47" s="333"/>
      <c r="D47" s="165"/>
      <c r="E47" s="166"/>
      <c r="F47" s="244"/>
      <c r="G47" s="166"/>
      <c r="H47" s="264">
        <f t="shared" si="7"/>
        <v>0</v>
      </c>
      <c r="I47" s="166"/>
      <c r="J47" s="166"/>
      <c r="K47" s="166"/>
      <c r="L47" s="264">
        <f t="shared" si="8"/>
        <v>0</v>
      </c>
      <c r="M47" s="141"/>
      <c r="N47" s="177"/>
      <c r="O47" s="166"/>
      <c r="P47" s="167">
        <f t="shared" si="9"/>
        <v>0</v>
      </c>
      <c r="Q47" s="178"/>
      <c r="R47" s="179"/>
      <c r="S47" s="61">
        <f t="shared" si="3"/>
        <v>0</v>
      </c>
      <c r="T47" s="18" t="str" cm="1">
        <f t="array" ref="T47">IF(S47:S47=0,"Ei toimenpiteitä","Kirjoita tähän mitä tehdään")</f>
        <v>Ei toimenpiteitä</v>
      </c>
      <c r="U47" s="19"/>
      <c r="V47" s="1"/>
      <c r="W47" s="1"/>
    </row>
    <row r="48" spans="1:23" x14ac:dyDescent="0.35">
      <c r="A48" s="19"/>
      <c r="B48" s="329" t="str">
        <f>IF(T48="Kirjoita tähän mitä tehdään","Pilarit *Rakennusselostus puuttuu","Pilarit")</f>
        <v>Pilarit</v>
      </c>
      <c r="C48" s="330"/>
      <c r="D48" s="168"/>
      <c r="E48" s="169"/>
      <c r="F48" s="245"/>
      <c r="G48" s="169"/>
      <c r="H48" s="265">
        <f t="shared" si="7"/>
        <v>0</v>
      </c>
      <c r="I48" s="169"/>
      <c r="J48" s="169"/>
      <c r="K48" s="169"/>
      <c r="L48" s="265">
        <f t="shared" si="8"/>
        <v>0</v>
      </c>
      <c r="M48" s="141"/>
      <c r="N48" s="180"/>
      <c r="O48" s="169"/>
      <c r="P48" s="170">
        <f t="shared" si="9"/>
        <v>0</v>
      </c>
      <c r="Q48" s="181"/>
      <c r="R48" s="182"/>
      <c r="S48" s="61">
        <f t="shared" si="3"/>
        <v>0</v>
      </c>
      <c r="T48" s="18" t="str" cm="1">
        <f t="array" ref="T48">IF(S48:S48=0,"Ei toimenpiteitä","Kirjoita tähän mitä tehdään")</f>
        <v>Ei toimenpiteitä</v>
      </c>
      <c r="U48" s="19"/>
      <c r="V48" s="1"/>
      <c r="W48" s="1"/>
    </row>
    <row r="49" spans="1:23" x14ac:dyDescent="0.35">
      <c r="A49" s="19"/>
      <c r="B49" s="329" t="str">
        <f>IF(T49="Kirjoita tähän mitä tehdään","Palkit *Rakennusselostus puuttuu","Palkit")</f>
        <v>Palkit</v>
      </c>
      <c r="C49" s="330"/>
      <c r="D49" s="168"/>
      <c r="E49" s="169"/>
      <c r="F49" s="245"/>
      <c r="G49" s="169"/>
      <c r="H49" s="265">
        <f t="shared" si="7"/>
        <v>0</v>
      </c>
      <c r="I49" s="169"/>
      <c r="J49" s="169"/>
      <c r="K49" s="169"/>
      <c r="L49" s="265">
        <f t="shared" si="8"/>
        <v>0</v>
      </c>
      <c r="M49" s="141"/>
      <c r="N49" s="180"/>
      <c r="O49" s="169"/>
      <c r="P49" s="170">
        <f t="shared" si="9"/>
        <v>0</v>
      </c>
      <c r="Q49" s="181"/>
      <c r="R49" s="182"/>
      <c r="S49" s="61">
        <f t="shared" si="3"/>
        <v>0</v>
      </c>
      <c r="T49" s="18" t="str" cm="1">
        <f t="array" ref="T49">IF(S49:S49=0,"Ei toimenpiteitä","Kirjoita tähän mitä tehdään")</f>
        <v>Ei toimenpiteitä</v>
      </c>
      <c r="U49" s="19"/>
      <c r="V49" s="1"/>
      <c r="W49" s="1"/>
    </row>
    <row r="50" spans="1:23" x14ac:dyDescent="0.35">
      <c r="A50" s="19"/>
      <c r="B50" s="329" t="str">
        <f>IF(T50="Kirjoita tähän mitä tehdään","Alapohjarakenne lämmöneristyksineen *Rakennusselostus puuttuu","Alapohjarakenne lämmöneristyksineen")</f>
        <v>Alapohjarakenne lämmöneristyksineen</v>
      </c>
      <c r="C50" s="330"/>
      <c r="D50" s="168"/>
      <c r="E50" s="169"/>
      <c r="F50" s="245"/>
      <c r="G50" s="169"/>
      <c r="H50" s="265">
        <f t="shared" si="7"/>
        <v>0</v>
      </c>
      <c r="I50" s="169"/>
      <c r="J50" s="169"/>
      <c r="K50" s="169"/>
      <c r="L50" s="265">
        <f t="shared" si="8"/>
        <v>0</v>
      </c>
      <c r="M50" s="141"/>
      <c r="N50" s="180"/>
      <c r="O50" s="169"/>
      <c r="P50" s="170">
        <f t="shared" si="9"/>
        <v>0</v>
      </c>
      <c r="Q50" s="181"/>
      <c r="R50" s="182"/>
      <c r="S50" s="61">
        <f t="shared" si="3"/>
        <v>0</v>
      </c>
      <c r="T50" s="18" t="str" cm="1">
        <f t="array" ref="T50">IF(S50:S50=0,"Ei toimenpiteitä","Kirjoita tähän mitä tehdään")</f>
        <v>Ei toimenpiteitä</v>
      </c>
      <c r="U50" s="19"/>
      <c r="V50" s="1"/>
      <c r="W50" s="1"/>
    </row>
    <row r="51" spans="1:23" x14ac:dyDescent="0.35">
      <c r="A51" s="19"/>
      <c r="B51" s="329" t="str">
        <f>IF(T51="Kirjoita tähän mitä tehdään","Välipohjarakenne lämmön/ääneneristyksineen *Rakennusselostus puuttuu","Välipohjarakenne lämmön/ääneneristyksineen")</f>
        <v>Välipohjarakenne lämmön/ääneneristyksineen</v>
      </c>
      <c r="C51" s="330"/>
      <c r="D51" s="168"/>
      <c r="E51" s="169"/>
      <c r="F51" s="245"/>
      <c r="G51" s="169"/>
      <c r="H51" s="265">
        <f t="shared" si="7"/>
        <v>0</v>
      </c>
      <c r="I51" s="169"/>
      <c r="J51" s="169"/>
      <c r="K51" s="169"/>
      <c r="L51" s="265">
        <f t="shared" si="8"/>
        <v>0</v>
      </c>
      <c r="M51" s="141"/>
      <c r="N51" s="180"/>
      <c r="O51" s="169"/>
      <c r="P51" s="170">
        <f t="shared" si="9"/>
        <v>0</v>
      </c>
      <c r="Q51" s="181"/>
      <c r="R51" s="182"/>
      <c r="S51" s="61">
        <f t="shared" si="3"/>
        <v>0</v>
      </c>
      <c r="T51" s="18" t="str" cm="1">
        <f t="array" ref="T51">IF(S51:S51=0,"Ei toimenpiteitä","Kirjoita tähän mitä tehdään")</f>
        <v>Ei toimenpiteitä</v>
      </c>
      <c r="U51" s="19"/>
      <c r="V51" s="1"/>
      <c r="W51" s="1"/>
    </row>
    <row r="52" spans="1:23" x14ac:dyDescent="0.35">
      <c r="A52" s="19"/>
      <c r="B52" s="329" t="str">
        <f>IF(T52="Kirjoita tähän mitä tehdään","Yläpohjarakenne lämmön/ääneneristyksineen *Rakennusselostus puuttuu","Yläpohjarakenne lämmön/ääneneristyksineen")</f>
        <v>Yläpohjarakenne lämmön/ääneneristyksineen</v>
      </c>
      <c r="C52" s="330"/>
      <c r="D52" s="168"/>
      <c r="E52" s="169"/>
      <c r="F52" s="245"/>
      <c r="G52" s="169"/>
      <c r="H52" s="265">
        <f t="shared" si="7"/>
        <v>0</v>
      </c>
      <c r="I52" s="169"/>
      <c r="J52" s="169"/>
      <c r="K52" s="169"/>
      <c r="L52" s="265">
        <f t="shared" si="8"/>
        <v>0</v>
      </c>
      <c r="M52" s="141"/>
      <c r="N52" s="180"/>
      <c r="O52" s="169"/>
      <c r="P52" s="170">
        <f t="shared" si="9"/>
        <v>0</v>
      </c>
      <c r="Q52" s="181"/>
      <c r="R52" s="182"/>
      <c r="S52" s="61">
        <f t="shared" si="3"/>
        <v>0</v>
      </c>
      <c r="T52" s="18" t="str" cm="1">
        <f t="array" ref="T52">IF(S52:S52=0,"Ei toimenpiteitä","Kirjoita tähän mitä tehdään")</f>
        <v>Ei toimenpiteitä</v>
      </c>
      <c r="U52" s="19"/>
      <c r="V52" s="1"/>
      <c r="W52" s="1"/>
    </row>
    <row r="53" spans="1:23" x14ac:dyDescent="0.35">
      <c r="A53" s="19"/>
      <c r="B53" s="331" t="str">
        <f>IF(T53="Kirjoita tähän mitä tehdään","Elementtirakenteet *Rakennusselostus puuttuu","Elementtirakenteet")</f>
        <v>Elementtirakenteet</v>
      </c>
      <c r="C53" s="330"/>
      <c r="D53" s="168"/>
      <c r="E53" s="169"/>
      <c r="F53" s="245"/>
      <c r="G53" s="169"/>
      <c r="H53" s="265">
        <f t="shared" si="7"/>
        <v>0</v>
      </c>
      <c r="I53" s="169"/>
      <c r="J53" s="169"/>
      <c r="K53" s="169"/>
      <c r="L53" s="265">
        <f t="shared" si="8"/>
        <v>0</v>
      </c>
      <c r="M53" s="141"/>
      <c r="N53" s="180"/>
      <c r="O53" s="169"/>
      <c r="P53" s="170">
        <f t="shared" si="9"/>
        <v>0</v>
      </c>
      <c r="Q53" s="181"/>
      <c r="R53" s="182"/>
      <c r="S53" s="61">
        <f t="shared" si="3"/>
        <v>0</v>
      </c>
      <c r="T53" s="18" t="str" cm="1">
        <f t="array" ref="T53">IF(S53:S53=0,"Ei toimenpiteitä","Kirjoita tähän mitä tehdään")</f>
        <v>Ei toimenpiteitä</v>
      </c>
      <c r="U53" s="19"/>
      <c r="V53" s="1"/>
      <c r="W53" s="1"/>
    </row>
    <row r="54" spans="1:23" x14ac:dyDescent="0.35">
      <c r="A54" s="19"/>
      <c r="B54" s="331" t="str">
        <f>IF(T54="Kirjoita tähän mitä tehdään","Ulkoseinärunko ja koolaukset *Rakennusselostus puuttuu","Ulkoseinärunko ja koolaukset")</f>
        <v>Ulkoseinärunko ja koolaukset</v>
      </c>
      <c r="C54" s="330"/>
      <c r="D54" s="168"/>
      <c r="E54" s="169"/>
      <c r="F54" s="245"/>
      <c r="G54" s="169"/>
      <c r="H54" s="265">
        <f t="shared" si="7"/>
        <v>0</v>
      </c>
      <c r="I54" s="169"/>
      <c r="J54" s="169"/>
      <c r="K54" s="169"/>
      <c r="L54" s="265">
        <f t="shared" si="8"/>
        <v>0</v>
      </c>
      <c r="M54" s="141"/>
      <c r="N54" s="180"/>
      <c r="O54" s="169"/>
      <c r="P54" s="170">
        <f t="shared" si="9"/>
        <v>0</v>
      </c>
      <c r="Q54" s="181"/>
      <c r="R54" s="182"/>
      <c r="S54" s="61">
        <f t="shared" si="3"/>
        <v>0</v>
      </c>
      <c r="T54" s="18" t="str" cm="1">
        <f t="array" ref="T54">IF(S54:S54=0,"Ei toimenpiteitä","Kirjoita tähän mitä tehdään")</f>
        <v>Ei toimenpiteitä</v>
      </c>
      <c r="U54" s="19"/>
      <c r="V54" s="1"/>
      <c r="W54" s="1"/>
    </row>
    <row r="55" spans="1:23" x14ac:dyDescent="0.35">
      <c r="A55" s="19"/>
      <c r="B55" s="331" t="str">
        <f>IF(T55="Kirjoita tähän mitä tehdään","Ulkoseinän eristeet *Rakennusselostus puuttuu","Ulkoseinän eristeet")</f>
        <v>Ulkoseinän eristeet</v>
      </c>
      <c r="C55" s="330"/>
      <c r="D55" s="168"/>
      <c r="E55" s="169"/>
      <c r="F55" s="245"/>
      <c r="G55" s="169"/>
      <c r="H55" s="265">
        <f t="shared" si="7"/>
        <v>0</v>
      </c>
      <c r="I55" s="169"/>
      <c r="J55" s="169"/>
      <c r="K55" s="169"/>
      <c r="L55" s="265">
        <f t="shared" si="8"/>
        <v>0</v>
      </c>
      <c r="M55" s="141"/>
      <c r="N55" s="180"/>
      <c r="O55" s="169"/>
      <c r="P55" s="170">
        <f t="shared" si="9"/>
        <v>0</v>
      </c>
      <c r="Q55" s="181"/>
      <c r="R55" s="182"/>
      <c r="S55" s="61">
        <f t="shared" si="3"/>
        <v>0</v>
      </c>
      <c r="T55" s="18" t="str" cm="1">
        <f t="array" ref="T55">IF(S55:S55=0,"Ei toimenpiteitä","Kirjoita tähän mitä tehdään")</f>
        <v>Ei toimenpiteitä</v>
      </c>
      <c r="U55" s="19"/>
      <c r="V55" s="1"/>
      <c r="W55" s="1"/>
    </row>
    <row r="56" spans="1:23" x14ac:dyDescent="0.35">
      <c r="A56" s="19"/>
      <c r="B56" s="331" t="str">
        <f>IF(T56="Kirjoita tähän mitä tehdään","Ulkoseinän tuulensuoja *Rakennusselostus puuttuu","Ulkoseinän tuulensuoja")</f>
        <v>Ulkoseinän tuulensuoja</v>
      </c>
      <c r="C56" s="330"/>
      <c r="D56" s="168"/>
      <c r="E56" s="169"/>
      <c r="F56" s="245"/>
      <c r="G56" s="169"/>
      <c r="H56" s="265">
        <f t="shared" si="7"/>
        <v>0</v>
      </c>
      <c r="I56" s="169"/>
      <c r="J56" s="169"/>
      <c r="K56" s="169"/>
      <c r="L56" s="265">
        <f t="shared" si="8"/>
        <v>0</v>
      </c>
      <c r="M56" s="141"/>
      <c r="N56" s="180"/>
      <c r="O56" s="169"/>
      <c r="P56" s="170">
        <f t="shared" si="9"/>
        <v>0</v>
      </c>
      <c r="Q56" s="181"/>
      <c r="R56" s="182"/>
      <c r="S56" s="61">
        <f t="shared" si="3"/>
        <v>0</v>
      </c>
      <c r="T56" s="18" t="str" cm="1">
        <f t="array" ref="T56">IF(S56:S56=0,"Ei toimenpiteitä","Kirjoita tähän mitä tehdään")</f>
        <v>Ei toimenpiteitä</v>
      </c>
      <c r="U56" s="19"/>
      <c r="V56" s="1"/>
      <c r="W56" s="1"/>
    </row>
    <row r="57" spans="1:23" x14ac:dyDescent="0.35">
      <c r="A57" s="19"/>
      <c r="B57" s="331" t="str">
        <f>IF(T57="Kirjoita tähän mitä tehdään","Höyryn- / ilmansulku *Rakennusselostus puuttuu","Höyryn- / ilmansulku")</f>
        <v>Höyryn- / ilmansulku</v>
      </c>
      <c r="C57" s="330"/>
      <c r="D57" s="168"/>
      <c r="E57" s="169"/>
      <c r="F57" s="245"/>
      <c r="G57" s="169"/>
      <c r="H57" s="265">
        <f t="shared" si="7"/>
        <v>0</v>
      </c>
      <c r="I57" s="169"/>
      <c r="J57" s="169"/>
      <c r="K57" s="169"/>
      <c r="L57" s="265">
        <f t="shared" si="8"/>
        <v>0</v>
      </c>
      <c r="M57" s="141"/>
      <c r="N57" s="180"/>
      <c r="O57" s="169"/>
      <c r="P57" s="170">
        <f t="shared" si="9"/>
        <v>0</v>
      </c>
      <c r="Q57" s="181"/>
      <c r="R57" s="182"/>
      <c r="S57" s="61">
        <f t="shared" si="3"/>
        <v>0</v>
      </c>
      <c r="T57" s="18" t="str" cm="1">
        <f t="array" ref="T57">IF(S57:S57=0,"Ei toimenpiteitä","Kirjoita tähän mitä tehdään")</f>
        <v>Ei toimenpiteitä</v>
      </c>
      <c r="U57" s="19"/>
      <c r="V57" s="1"/>
      <c r="W57" s="1"/>
    </row>
    <row r="58" spans="1:23" x14ac:dyDescent="0.35">
      <c r="A58" s="19"/>
      <c r="B58" s="329" t="str">
        <f>IF(T58="Kirjoita tähän mitä tehdään","Rakennuksen toimitus kokonaisena *Rakennusselostus puuttuu","Rakennuksen toimitus kokonaisena")</f>
        <v>Rakennuksen toimitus kokonaisena</v>
      </c>
      <c r="C58" s="330"/>
      <c r="D58" s="168"/>
      <c r="E58" s="169"/>
      <c r="F58" s="245"/>
      <c r="G58" s="169"/>
      <c r="H58" s="265">
        <f t="shared" si="7"/>
        <v>0</v>
      </c>
      <c r="I58" s="169"/>
      <c r="J58" s="169"/>
      <c r="K58" s="169"/>
      <c r="L58" s="265">
        <f t="shared" si="8"/>
        <v>0</v>
      </c>
      <c r="M58" s="141"/>
      <c r="N58" s="180"/>
      <c r="O58" s="169"/>
      <c r="P58" s="170">
        <f t="shared" si="9"/>
        <v>0</v>
      </c>
      <c r="Q58" s="181"/>
      <c r="R58" s="182"/>
      <c r="S58" s="61">
        <f t="shared" si="3"/>
        <v>0</v>
      </c>
      <c r="T58" s="18" t="str" cm="1">
        <f t="array" ref="T58">IF(S58:S58=0,"Ei toimenpiteitä","Kirjoita tähän mitä tehdään")</f>
        <v>Ei toimenpiteitä</v>
      </c>
      <c r="U58" s="19"/>
      <c r="V58" s="1"/>
      <c r="W58" s="1"/>
    </row>
    <row r="59" spans="1:23" x14ac:dyDescent="0.35">
      <c r="A59" s="19"/>
      <c r="B59" s="293" t="str">
        <f>IF(T59="Kirjoita tähän mitä tehdään","Muu runkorakenne: *Rakennusselostus puuttuu","Muu runkorakenne:")</f>
        <v>Muu runkorakenne:</v>
      </c>
      <c r="C59" s="175"/>
      <c r="D59" s="168"/>
      <c r="E59" s="169"/>
      <c r="F59" s="245"/>
      <c r="G59" s="169"/>
      <c r="H59" s="265">
        <f t="shared" si="7"/>
        <v>0</v>
      </c>
      <c r="I59" s="169"/>
      <c r="J59" s="169"/>
      <c r="K59" s="169"/>
      <c r="L59" s="265">
        <f t="shared" si="8"/>
        <v>0</v>
      </c>
      <c r="M59" s="141"/>
      <c r="N59" s="180"/>
      <c r="O59" s="169"/>
      <c r="P59" s="170">
        <f t="shared" si="9"/>
        <v>0</v>
      </c>
      <c r="Q59" s="181"/>
      <c r="R59" s="182"/>
      <c r="S59" s="61">
        <f t="shared" si="3"/>
        <v>0</v>
      </c>
      <c r="T59" s="18" t="str" cm="1">
        <f t="array" ref="T59">IF(S59:S59=0,"Ei toimenpiteitä","Kirjoita tähän mitä tehdään")</f>
        <v>Ei toimenpiteitä</v>
      </c>
      <c r="U59" s="19"/>
      <c r="V59" s="1"/>
      <c r="W59" s="1"/>
    </row>
    <row r="60" spans="1:23" x14ac:dyDescent="0.35">
      <c r="A60" s="19"/>
      <c r="B60" s="305" t="str">
        <f>IF(T60="Kirjoita tähän mitä tehdään","Muu runkorakenne: *Rakennusselostus puuttuu","Muu runkorakenne:")</f>
        <v>Muu runkorakenne:</v>
      </c>
      <c r="C60" s="176"/>
      <c r="D60" s="171"/>
      <c r="E60" s="172"/>
      <c r="F60" s="246"/>
      <c r="G60" s="172"/>
      <c r="H60" s="266">
        <f t="shared" si="7"/>
        <v>0</v>
      </c>
      <c r="I60" s="172"/>
      <c r="J60" s="172"/>
      <c r="K60" s="172"/>
      <c r="L60" s="266">
        <f t="shared" si="8"/>
        <v>0</v>
      </c>
      <c r="M60" s="141"/>
      <c r="N60" s="183"/>
      <c r="O60" s="172"/>
      <c r="P60" s="173">
        <f t="shared" si="9"/>
        <v>0</v>
      </c>
      <c r="Q60" s="184"/>
      <c r="R60" s="185"/>
      <c r="S60" s="61">
        <f t="shared" si="3"/>
        <v>0</v>
      </c>
      <c r="T60" s="18" t="str" cm="1">
        <f t="array" ref="T60">IF(S60:S60=0,"Ei toimenpiteitä","Kirjoita tähän mitä tehdään")</f>
        <v>Ei toimenpiteitä</v>
      </c>
      <c r="U60" s="19"/>
      <c r="V60" s="1"/>
      <c r="W60" s="1"/>
    </row>
    <row r="61" spans="1:23" x14ac:dyDescent="0.35">
      <c r="A61" s="32" t="s">
        <v>85</v>
      </c>
      <c r="B61" s="36"/>
      <c r="C61" s="37"/>
      <c r="D61" s="139"/>
      <c r="E61" s="140"/>
      <c r="F61" s="19"/>
      <c r="G61" s="140"/>
      <c r="H61" s="272"/>
      <c r="I61" s="272"/>
      <c r="J61" s="140"/>
      <c r="K61" s="140"/>
      <c r="L61" s="148"/>
      <c r="M61" s="141"/>
      <c r="N61" s="147"/>
      <c r="O61" s="140"/>
      <c r="P61" s="272"/>
      <c r="Q61" s="272"/>
      <c r="R61" s="149"/>
      <c r="S61" s="61">
        <f t="shared" si="3"/>
        <v>0</v>
      </c>
      <c r="T61" s="247"/>
      <c r="U61" s="19"/>
      <c r="V61" s="1"/>
      <c r="W61" s="1"/>
    </row>
    <row r="62" spans="1:23" x14ac:dyDescent="0.35">
      <c r="A62" s="19"/>
      <c r="B62" s="332" t="str">
        <f>IF(T62="Kirjoita tähän mitä tehdään","Ulkoseinä 1 (runko, eristykset, tuulensuoja, verhous) *Rakennusselostus puuttuu","Ulkoseinä 1 (runko, eristykset, tuulensuoja, verhous)")</f>
        <v>Ulkoseinä 1 (runko, eristykset, tuulensuoja, verhous)</v>
      </c>
      <c r="C62" s="333"/>
      <c r="D62" s="165"/>
      <c r="E62" s="166"/>
      <c r="F62" s="244"/>
      <c r="G62" s="166"/>
      <c r="H62" s="264">
        <f t="shared" si="7"/>
        <v>0</v>
      </c>
      <c r="I62" s="166"/>
      <c r="J62" s="166"/>
      <c r="K62" s="166"/>
      <c r="L62" s="264">
        <f t="shared" si="8"/>
        <v>0</v>
      </c>
      <c r="M62" s="141"/>
      <c r="N62" s="177"/>
      <c r="O62" s="166"/>
      <c r="P62" s="167">
        <f t="shared" si="9"/>
        <v>0</v>
      </c>
      <c r="Q62" s="178"/>
      <c r="R62" s="179"/>
      <c r="S62" s="61">
        <f t="shared" si="3"/>
        <v>0</v>
      </c>
      <c r="T62" s="18" t="str" cm="1">
        <f t="array" ref="T62">IF(S62:S62=0,"Ei toimenpiteitä","Kirjoita tähän mitä tehdään")</f>
        <v>Ei toimenpiteitä</v>
      </c>
      <c r="U62" s="19"/>
      <c r="V62" s="1"/>
      <c r="W62" s="1"/>
    </row>
    <row r="63" spans="1:23" x14ac:dyDescent="0.35">
      <c r="A63" s="19"/>
      <c r="B63" s="329" t="str">
        <f>IF(T63="Kirjoita tähän mitä tehdään","Ulkoseinä 2 (runko, eristykset, tuulensuoja, verhous) *Rakennusselostus puuttuu","Ulkoseinä 2 (runko, eristykset, tuulensuoja, verhous)")</f>
        <v>Ulkoseinä 2 (runko, eristykset, tuulensuoja, verhous)</v>
      </c>
      <c r="C63" s="330"/>
      <c r="D63" s="168"/>
      <c r="E63" s="169"/>
      <c r="F63" s="245"/>
      <c r="G63" s="169"/>
      <c r="H63" s="265">
        <f t="shared" si="7"/>
        <v>0</v>
      </c>
      <c r="I63" s="169"/>
      <c r="J63" s="169"/>
      <c r="K63" s="169"/>
      <c r="L63" s="265">
        <f t="shared" si="8"/>
        <v>0</v>
      </c>
      <c r="M63" s="141"/>
      <c r="N63" s="180"/>
      <c r="O63" s="169"/>
      <c r="P63" s="170">
        <f t="shared" si="9"/>
        <v>0</v>
      </c>
      <c r="Q63" s="181"/>
      <c r="R63" s="182"/>
      <c r="S63" s="61">
        <f t="shared" si="3"/>
        <v>0</v>
      </c>
      <c r="T63" s="18" t="str" cm="1">
        <f t="array" ref="T63">IF(S63:S63=0,"Ei toimenpiteitä","Kirjoita tähän mitä tehdään")</f>
        <v>Ei toimenpiteitä</v>
      </c>
      <c r="U63" s="19"/>
      <c r="V63" s="1"/>
      <c r="W63" s="1"/>
    </row>
    <row r="64" spans="1:23" x14ac:dyDescent="0.35">
      <c r="A64" s="19"/>
      <c r="B64" s="329" t="str">
        <f>IF(T64="Kirjoita tähän mitä tehdään","Ulkoseinä 3 (runko, eristykset, tuulensuoja, verhous) *Rakennusselostus puuttuu","Ulkoseinä 3 (runko, eristykset, tuulensuoja, verhous)")</f>
        <v>Ulkoseinä 3 (runko, eristykset, tuulensuoja, verhous)</v>
      </c>
      <c r="C64" s="330"/>
      <c r="D64" s="168"/>
      <c r="E64" s="169"/>
      <c r="F64" s="245"/>
      <c r="G64" s="169"/>
      <c r="H64" s="265">
        <f t="shared" si="7"/>
        <v>0</v>
      </c>
      <c r="I64" s="169"/>
      <c r="J64" s="169"/>
      <c r="K64" s="169"/>
      <c r="L64" s="265">
        <f t="shared" si="8"/>
        <v>0</v>
      </c>
      <c r="M64" s="141"/>
      <c r="N64" s="180"/>
      <c r="O64" s="169"/>
      <c r="P64" s="170">
        <f t="shared" si="9"/>
        <v>0</v>
      </c>
      <c r="Q64" s="181"/>
      <c r="R64" s="182"/>
      <c r="S64" s="61">
        <f t="shared" si="3"/>
        <v>0</v>
      </c>
      <c r="T64" s="18" t="str" cm="1">
        <f t="array" ref="T64">IF(S64:S64=0,"Ei toimenpiteitä","Kirjoita tähän mitä tehdään")</f>
        <v>Ei toimenpiteitä</v>
      </c>
      <c r="U64" s="19"/>
      <c r="V64" s="1"/>
      <c r="W64" s="1"/>
    </row>
    <row r="65" spans="1:23" x14ac:dyDescent="0.35">
      <c r="A65" s="19"/>
      <c r="B65" s="329" t="str">
        <f>IF(T65="Kirjoita tähän mitä tehdään","Ulkoseinä 4 (runko, eristykset, tuulensuoja, verhous) *Rakennusselostus puuttuu","Ulkoseinä 4 (runko, eristykset, tuulensuoja, verhous)")</f>
        <v>Ulkoseinä 4 (runko, eristykset, tuulensuoja, verhous)</v>
      </c>
      <c r="C65" s="330"/>
      <c r="D65" s="168"/>
      <c r="E65" s="169"/>
      <c r="F65" s="245"/>
      <c r="G65" s="169"/>
      <c r="H65" s="265">
        <f t="shared" si="7"/>
        <v>0</v>
      </c>
      <c r="I65" s="169"/>
      <c r="J65" s="169"/>
      <c r="K65" s="169"/>
      <c r="L65" s="265">
        <f t="shared" si="8"/>
        <v>0</v>
      </c>
      <c r="M65" s="141"/>
      <c r="N65" s="180"/>
      <c r="O65" s="169"/>
      <c r="P65" s="170">
        <f t="shared" si="9"/>
        <v>0</v>
      </c>
      <c r="Q65" s="181"/>
      <c r="R65" s="182"/>
      <c r="S65" s="61">
        <f t="shared" si="3"/>
        <v>0</v>
      </c>
      <c r="T65" s="18" t="str" cm="1">
        <f t="array" ref="T65">IF(S65:S65=0,"Ei toimenpiteitä","Kirjoita tähän mitä tehdään")</f>
        <v>Ei toimenpiteitä</v>
      </c>
      <c r="U65" s="19"/>
      <c r="V65" s="1"/>
      <c r="W65" s="1"/>
    </row>
    <row r="66" spans="1:23" x14ac:dyDescent="0.35">
      <c r="A66" s="19"/>
      <c r="B66" s="329" t="str">
        <f>IF(T66="Kirjoita tähän mitä tehdään","Ikkunat *Rakennusselostus puuttuu","Ikkunat")</f>
        <v>Ikkunat</v>
      </c>
      <c r="C66" s="330"/>
      <c r="D66" s="168"/>
      <c r="E66" s="169"/>
      <c r="F66" s="245"/>
      <c r="G66" s="169"/>
      <c r="H66" s="265">
        <f t="shared" si="7"/>
        <v>0</v>
      </c>
      <c r="I66" s="169"/>
      <c r="J66" s="169"/>
      <c r="K66" s="169"/>
      <c r="L66" s="265">
        <f t="shared" si="8"/>
        <v>0</v>
      </c>
      <c r="M66" s="141"/>
      <c r="N66" s="180"/>
      <c r="O66" s="169"/>
      <c r="P66" s="170">
        <f t="shared" si="9"/>
        <v>0</v>
      </c>
      <c r="Q66" s="181"/>
      <c r="R66" s="182"/>
      <c r="S66" s="61">
        <f t="shared" si="3"/>
        <v>0</v>
      </c>
      <c r="T66" s="18" t="str" cm="1">
        <f t="array" ref="T66">IF(S66:S66=0,"Ei toimenpiteitä","Kirjoita tähän mitä tehdään")</f>
        <v>Ei toimenpiteitä</v>
      </c>
      <c r="U66" s="19"/>
      <c r="V66" s="1"/>
      <c r="W66" s="1"/>
    </row>
    <row r="67" spans="1:23" x14ac:dyDescent="0.35">
      <c r="A67" s="19"/>
      <c r="B67" s="329" t="str">
        <f>IF(T67="Kirjoita tähän mitä tehdään","Ulko-ovet *Rakennusselostus puuttuu","Ulko-ovet")</f>
        <v>Ulko-ovet</v>
      </c>
      <c r="C67" s="330"/>
      <c r="D67" s="168"/>
      <c r="E67" s="169"/>
      <c r="F67" s="245"/>
      <c r="G67" s="169"/>
      <c r="H67" s="265">
        <f t="shared" si="7"/>
        <v>0</v>
      </c>
      <c r="I67" s="169"/>
      <c r="J67" s="169"/>
      <c r="K67" s="169"/>
      <c r="L67" s="265">
        <f t="shared" si="8"/>
        <v>0</v>
      </c>
      <c r="M67" s="141"/>
      <c r="N67" s="180"/>
      <c r="O67" s="169"/>
      <c r="P67" s="170">
        <f t="shared" si="9"/>
        <v>0</v>
      </c>
      <c r="Q67" s="181"/>
      <c r="R67" s="182"/>
      <c r="S67" s="61">
        <f t="shared" si="3"/>
        <v>0</v>
      </c>
      <c r="T67" s="18" t="str" cm="1">
        <f t="array" ref="T67">IF(S67:S67=0,"Ei toimenpiteitä","Kirjoita tähän mitä tehdään")</f>
        <v>Ei toimenpiteitä</v>
      </c>
      <c r="U67" s="19"/>
      <c r="V67" s="1"/>
      <c r="W67" s="1"/>
    </row>
    <row r="68" spans="1:23" x14ac:dyDescent="0.35">
      <c r="A68" s="19"/>
      <c r="B68" s="329" t="str">
        <f>IF(T68="Kirjoita tähän mitä tehdään","Julkisivuvarusteet (talotikkaat, markiisit, säleiköt) *Rakennusselostus puuttuu","Julkisivuvarusteet (talotikkaat, markiisit, säleiköt)")</f>
        <v>Julkisivuvarusteet (talotikkaat, markiisit, säleiköt)</v>
      </c>
      <c r="C68" s="330"/>
      <c r="D68" s="168"/>
      <c r="E68" s="169"/>
      <c r="F68" s="245"/>
      <c r="G68" s="169"/>
      <c r="H68" s="265">
        <f t="shared" si="7"/>
        <v>0</v>
      </c>
      <c r="I68" s="169"/>
      <c r="J68" s="169"/>
      <c r="K68" s="169"/>
      <c r="L68" s="265">
        <f t="shared" si="8"/>
        <v>0</v>
      </c>
      <c r="M68" s="141"/>
      <c r="N68" s="180"/>
      <c r="O68" s="169"/>
      <c r="P68" s="170">
        <f t="shared" si="9"/>
        <v>0</v>
      </c>
      <c r="Q68" s="181"/>
      <c r="R68" s="182"/>
      <c r="S68" s="61">
        <f t="shared" si="3"/>
        <v>0</v>
      </c>
      <c r="T68" s="18" t="str" cm="1">
        <f t="array" ref="T68">IF(S68:S68=0,"Ei toimenpiteitä","Kirjoita tähän mitä tehdään")</f>
        <v>Ei toimenpiteitä</v>
      </c>
      <c r="U68" s="19"/>
      <c r="V68" s="1"/>
      <c r="W68" s="1"/>
    </row>
    <row r="69" spans="1:23" x14ac:dyDescent="0.35">
      <c r="A69" s="19"/>
      <c r="B69" s="293" t="str">
        <f>IF(T69="Kirjoita tähän mitä tehdään","Muu rakenne: *Rakennusselostus puuttuu","Muu rakenne:")</f>
        <v>Muu rakenne:</v>
      </c>
      <c r="C69" s="175"/>
      <c r="D69" s="168"/>
      <c r="E69" s="169"/>
      <c r="F69" s="245"/>
      <c r="G69" s="169"/>
      <c r="H69" s="265">
        <f t="shared" si="7"/>
        <v>0</v>
      </c>
      <c r="I69" s="169"/>
      <c r="J69" s="169"/>
      <c r="K69" s="169"/>
      <c r="L69" s="265">
        <f t="shared" si="8"/>
        <v>0</v>
      </c>
      <c r="M69" s="141"/>
      <c r="N69" s="180"/>
      <c r="O69" s="169"/>
      <c r="P69" s="170">
        <f t="shared" si="9"/>
        <v>0</v>
      </c>
      <c r="Q69" s="181"/>
      <c r="R69" s="182"/>
      <c r="S69" s="61">
        <f t="shared" si="3"/>
        <v>0</v>
      </c>
      <c r="T69" s="18" t="str" cm="1">
        <f t="array" ref="T69">IF(S69:S69=0,"Ei toimenpiteitä","Kirjoita tähän mitä tehdään")</f>
        <v>Ei toimenpiteitä</v>
      </c>
      <c r="U69" s="19"/>
      <c r="V69" s="1"/>
      <c r="W69" s="1"/>
    </row>
    <row r="70" spans="1:23" x14ac:dyDescent="0.35">
      <c r="A70" s="19"/>
      <c r="B70" s="293" t="str">
        <f>IF(T70="Kirjoita tähän mitä tehdään","Muu rakenne: *Rakennusselostus puuttuu","Muu rakenne:")</f>
        <v>Muu rakenne:</v>
      </c>
      <c r="C70" s="175"/>
      <c r="D70" s="168"/>
      <c r="E70" s="169"/>
      <c r="F70" s="245"/>
      <c r="G70" s="169"/>
      <c r="H70" s="265">
        <f t="shared" si="7"/>
        <v>0</v>
      </c>
      <c r="I70" s="169"/>
      <c r="J70" s="169"/>
      <c r="K70" s="169"/>
      <c r="L70" s="265">
        <f t="shared" si="8"/>
        <v>0</v>
      </c>
      <c r="M70" s="141"/>
      <c r="N70" s="180"/>
      <c r="O70" s="169"/>
      <c r="P70" s="170">
        <f t="shared" si="9"/>
        <v>0</v>
      </c>
      <c r="Q70" s="181"/>
      <c r="R70" s="182"/>
      <c r="S70" s="61">
        <f t="shared" si="3"/>
        <v>0</v>
      </c>
      <c r="T70" s="18" t="str" cm="1">
        <f t="array" ref="T70">IF(S70:S70=0,"Ei toimenpiteitä","Kirjoita tähän mitä tehdään")</f>
        <v>Ei toimenpiteitä</v>
      </c>
      <c r="U70" s="19"/>
      <c r="V70" s="1"/>
      <c r="W70" s="1"/>
    </row>
    <row r="71" spans="1:23" x14ac:dyDescent="0.35">
      <c r="A71" s="19"/>
      <c r="B71" s="293" t="str">
        <f>IF(T71="Kirjoita tähän mitä tehdään","Muu rakenne: *Rakennusselostus puuttuu","Muu rakenne:")</f>
        <v>Muu rakenne:</v>
      </c>
      <c r="C71" s="175"/>
      <c r="D71" s="168"/>
      <c r="E71" s="169"/>
      <c r="F71" s="245"/>
      <c r="G71" s="169"/>
      <c r="H71" s="265">
        <f t="shared" si="7"/>
        <v>0</v>
      </c>
      <c r="I71" s="169"/>
      <c r="J71" s="169"/>
      <c r="K71" s="169"/>
      <c r="L71" s="265">
        <f t="shared" si="8"/>
        <v>0</v>
      </c>
      <c r="M71" s="141"/>
      <c r="N71" s="180"/>
      <c r="O71" s="169"/>
      <c r="P71" s="170">
        <f t="shared" si="9"/>
        <v>0</v>
      </c>
      <c r="Q71" s="181"/>
      <c r="R71" s="182"/>
      <c r="S71" s="61">
        <f t="shared" si="3"/>
        <v>0</v>
      </c>
      <c r="T71" s="18" t="str" cm="1">
        <f t="array" ref="T71">IF(S71:S71=0,"Ei toimenpiteitä","Kirjoita tähän mitä tehdään")</f>
        <v>Ei toimenpiteitä</v>
      </c>
      <c r="U71" s="19"/>
      <c r="V71" s="1"/>
      <c r="W71" s="1"/>
    </row>
    <row r="72" spans="1:23" x14ac:dyDescent="0.35">
      <c r="A72" s="19"/>
      <c r="B72" s="305" t="str">
        <f>IF(T72="Kirjoita tähän mitä tehdään","Muu rakenne: *Rakennusselostus puuttuu","Muu rakenne:")</f>
        <v>Muu rakenne:</v>
      </c>
      <c r="C72" s="176"/>
      <c r="D72" s="171"/>
      <c r="E72" s="172"/>
      <c r="F72" s="246"/>
      <c r="G72" s="172"/>
      <c r="H72" s="266">
        <f t="shared" si="7"/>
        <v>0</v>
      </c>
      <c r="I72" s="172"/>
      <c r="J72" s="172"/>
      <c r="K72" s="172"/>
      <c r="L72" s="266">
        <f t="shared" si="8"/>
        <v>0</v>
      </c>
      <c r="M72" s="141"/>
      <c r="N72" s="183"/>
      <c r="O72" s="172"/>
      <c r="P72" s="173">
        <f t="shared" si="9"/>
        <v>0</v>
      </c>
      <c r="Q72" s="184"/>
      <c r="R72" s="185"/>
      <c r="S72" s="61">
        <f t="shared" si="3"/>
        <v>0</v>
      </c>
      <c r="T72" s="18" t="str" cm="1">
        <f t="array" ref="T72">IF(S72:S72=0,"Ei toimenpiteitä","Kirjoita tähän mitä tehdään")</f>
        <v>Ei toimenpiteitä</v>
      </c>
      <c r="U72" s="19"/>
      <c r="V72" s="1"/>
      <c r="W72" s="1"/>
    </row>
    <row r="73" spans="1:23" x14ac:dyDescent="0.35">
      <c r="A73" s="32" t="s">
        <v>88</v>
      </c>
      <c r="B73" s="36"/>
      <c r="C73" s="37"/>
      <c r="D73" s="139"/>
      <c r="E73" s="140"/>
      <c r="F73" s="19"/>
      <c r="G73" s="140"/>
      <c r="H73" s="272"/>
      <c r="I73" s="272"/>
      <c r="J73" s="140"/>
      <c r="K73" s="140"/>
      <c r="L73" s="148"/>
      <c r="M73" s="141"/>
      <c r="N73" s="147"/>
      <c r="O73" s="140"/>
      <c r="P73" s="272"/>
      <c r="Q73" s="272"/>
      <c r="R73" s="149"/>
      <c r="S73" s="61">
        <f t="shared" si="3"/>
        <v>0</v>
      </c>
      <c r="T73" s="247"/>
      <c r="U73" s="19"/>
      <c r="V73" s="1"/>
      <c r="W73" s="1"/>
    </row>
    <row r="74" spans="1:23" x14ac:dyDescent="0.35">
      <c r="A74" s="19"/>
      <c r="B74" s="332" t="str">
        <f>IF(T74="Kirjoita tähän mitä tehdään","Vesikattorakenteet  *Rakennusselostus puuttuu","Vesikattorakenteet ")</f>
        <v xml:space="preserve">Vesikattorakenteet </v>
      </c>
      <c r="C74" s="333"/>
      <c r="D74" s="165"/>
      <c r="E74" s="166"/>
      <c r="F74" s="244"/>
      <c r="G74" s="166"/>
      <c r="H74" s="264">
        <f t="shared" si="7"/>
        <v>0</v>
      </c>
      <c r="I74" s="166"/>
      <c r="J74" s="166"/>
      <c r="K74" s="166"/>
      <c r="L74" s="264">
        <f t="shared" si="8"/>
        <v>0</v>
      </c>
      <c r="M74" s="141"/>
      <c r="N74" s="177"/>
      <c r="O74" s="166"/>
      <c r="P74" s="167">
        <f t="shared" si="9"/>
        <v>0</v>
      </c>
      <c r="Q74" s="178"/>
      <c r="R74" s="179"/>
      <c r="S74" s="61">
        <f t="shared" si="3"/>
        <v>0</v>
      </c>
      <c r="T74" s="18" t="str" cm="1">
        <f t="array" ref="T74">IF(S74:S74=0,"Ei toimenpiteitä","Kirjoita tähän mitä tehdään")</f>
        <v>Ei toimenpiteitä</v>
      </c>
      <c r="U74" s="19"/>
      <c r="V74" s="1"/>
      <c r="W74" s="1"/>
    </row>
    <row r="75" spans="1:23" x14ac:dyDescent="0.35">
      <c r="A75" s="19"/>
      <c r="B75" s="329" t="str">
        <f>IF(T75="Kirjoita tähän mitä tehdään","Räystäsrakenteet *Rakennusselostus puuttuu","Räystäsrakenteet")</f>
        <v>Räystäsrakenteet</v>
      </c>
      <c r="C75" s="330"/>
      <c r="D75" s="168"/>
      <c r="E75" s="169"/>
      <c r="F75" s="245"/>
      <c r="G75" s="169"/>
      <c r="H75" s="265">
        <f t="shared" si="7"/>
        <v>0</v>
      </c>
      <c r="I75" s="169"/>
      <c r="J75" s="169"/>
      <c r="K75" s="169"/>
      <c r="L75" s="265">
        <f t="shared" si="8"/>
        <v>0</v>
      </c>
      <c r="M75" s="141"/>
      <c r="N75" s="180"/>
      <c r="O75" s="169"/>
      <c r="P75" s="170">
        <f t="shared" si="9"/>
        <v>0</v>
      </c>
      <c r="Q75" s="181"/>
      <c r="R75" s="182"/>
      <c r="S75" s="61">
        <f t="shared" si="3"/>
        <v>0</v>
      </c>
      <c r="T75" s="18" t="str" cm="1">
        <f t="array" ref="T75">IF(S75:S75=0,"Ei toimenpiteitä","Kirjoita tähän mitä tehdään")</f>
        <v>Ei toimenpiteitä</v>
      </c>
      <c r="U75" s="19"/>
      <c r="V75" s="1"/>
      <c r="W75" s="1"/>
    </row>
    <row r="76" spans="1:23" x14ac:dyDescent="0.35">
      <c r="A76" s="19"/>
      <c r="B76" s="329" t="str">
        <f>IF(T76="Kirjoita tähän mitä tehdään","Vesikatteet (ruoteet, aluskate, kate) *Rakennusselostus puuttuu","Vesikatteet (ruoteet, aluskate, kate)")</f>
        <v>Vesikatteet (ruoteet, aluskate, kate)</v>
      </c>
      <c r="C76" s="330"/>
      <c r="D76" s="168"/>
      <c r="E76" s="169"/>
      <c r="F76" s="245"/>
      <c r="G76" s="169"/>
      <c r="H76" s="265">
        <f t="shared" si="7"/>
        <v>0</v>
      </c>
      <c r="I76" s="169"/>
      <c r="J76" s="169"/>
      <c r="K76" s="169"/>
      <c r="L76" s="265">
        <f t="shared" si="8"/>
        <v>0</v>
      </c>
      <c r="M76" s="141"/>
      <c r="N76" s="180"/>
      <c r="O76" s="169"/>
      <c r="P76" s="170">
        <f t="shared" si="9"/>
        <v>0</v>
      </c>
      <c r="Q76" s="181"/>
      <c r="R76" s="182"/>
      <c r="S76" s="61">
        <f t="shared" si="3"/>
        <v>0</v>
      </c>
      <c r="T76" s="18" t="str" cm="1">
        <f t="array" ref="T76">IF(S76:S76=0,"Ei toimenpiteitä","Kirjoita tähän mitä tehdään")</f>
        <v>Ei toimenpiteitä</v>
      </c>
      <c r="U76" s="19"/>
      <c r="V76" s="1"/>
      <c r="W76" s="1"/>
    </row>
    <row r="77" spans="1:23" x14ac:dyDescent="0.35">
      <c r="A77" s="19"/>
      <c r="B77" s="329" t="str">
        <f>IF(T77="Kirjoita tähän mitä tehdään","Kattoikkunat ja luukut *Rakennusselostus puuttuu","Kattoikkunat ja luukut")</f>
        <v>Kattoikkunat ja luukut</v>
      </c>
      <c r="C77" s="330"/>
      <c r="D77" s="168"/>
      <c r="E77" s="169"/>
      <c r="F77" s="245"/>
      <c r="G77" s="169"/>
      <c r="H77" s="265">
        <f t="shared" si="7"/>
        <v>0</v>
      </c>
      <c r="I77" s="169"/>
      <c r="J77" s="169"/>
      <c r="K77" s="169"/>
      <c r="L77" s="265">
        <f t="shared" si="8"/>
        <v>0</v>
      </c>
      <c r="M77" s="141"/>
      <c r="N77" s="180"/>
      <c r="O77" s="169"/>
      <c r="P77" s="170">
        <f t="shared" si="9"/>
        <v>0</v>
      </c>
      <c r="Q77" s="181"/>
      <c r="R77" s="182"/>
      <c r="S77" s="61">
        <f t="shared" si="3"/>
        <v>0</v>
      </c>
      <c r="T77" s="18" t="str" cm="1">
        <f t="array" ref="T77">IF(S77:S77=0,"Ei toimenpiteitä","Kirjoita tähän mitä tehdään")</f>
        <v>Ei toimenpiteitä</v>
      </c>
      <c r="U77" s="19"/>
      <c r="V77" s="1"/>
      <c r="W77" s="1"/>
    </row>
    <row r="78" spans="1:23" x14ac:dyDescent="0.35">
      <c r="A78" s="19"/>
      <c r="B78" s="293" t="str">
        <f>IF(T78="Kirjoita tähän mitä tehdään","Muut vesikattorakenteet: *Rakennusselostus puuttuu","Muut vesikattorakenteet:")</f>
        <v>Muut vesikattorakenteet:</v>
      </c>
      <c r="C78" s="175"/>
      <c r="D78" s="168"/>
      <c r="E78" s="169"/>
      <c r="F78" s="245"/>
      <c r="G78" s="169"/>
      <c r="H78" s="265">
        <f t="shared" si="7"/>
        <v>0</v>
      </c>
      <c r="I78" s="169"/>
      <c r="J78" s="169"/>
      <c r="K78" s="169"/>
      <c r="L78" s="265">
        <f t="shared" si="8"/>
        <v>0</v>
      </c>
      <c r="M78" s="141"/>
      <c r="N78" s="180"/>
      <c r="O78" s="169"/>
      <c r="P78" s="170">
        <f t="shared" si="9"/>
        <v>0</v>
      </c>
      <c r="Q78" s="181"/>
      <c r="R78" s="182"/>
      <c r="S78" s="61">
        <f t="shared" si="3"/>
        <v>0</v>
      </c>
      <c r="T78" s="18" t="str" cm="1">
        <f t="array" ref="T78">IF(S78:S78=0,"Ei toimenpiteitä","Kirjoita tähän mitä tehdään")</f>
        <v>Ei toimenpiteitä</v>
      </c>
      <c r="U78" s="19"/>
      <c r="V78" s="1"/>
      <c r="W78" s="1"/>
    </row>
    <row r="79" spans="1:23" x14ac:dyDescent="0.35">
      <c r="A79" s="19"/>
      <c r="B79" s="305" t="str">
        <f>IF(T79="Kirjoita tähän mitä tehdään","Muut vesikattorakenteet: *Rakennusselostus puuttuu","Muut vesikattorakenteet:")</f>
        <v>Muut vesikattorakenteet:</v>
      </c>
      <c r="C79" s="176"/>
      <c r="D79" s="171"/>
      <c r="E79" s="172"/>
      <c r="F79" s="245"/>
      <c r="G79" s="172"/>
      <c r="H79" s="266">
        <f t="shared" si="7"/>
        <v>0</v>
      </c>
      <c r="I79" s="172"/>
      <c r="J79" s="172"/>
      <c r="K79" s="172"/>
      <c r="L79" s="266">
        <f t="shared" si="8"/>
        <v>0</v>
      </c>
      <c r="M79" s="141"/>
      <c r="N79" s="183"/>
      <c r="O79" s="172"/>
      <c r="P79" s="173">
        <f t="shared" si="9"/>
        <v>0</v>
      </c>
      <c r="Q79" s="184"/>
      <c r="R79" s="185"/>
      <c r="S79" s="61">
        <f t="shared" ref="S79:S142" si="10">P79+L79</f>
        <v>0</v>
      </c>
      <c r="T79" s="18" t="str" cm="1">
        <f t="array" ref="T79">IF(S79:S79=0,"Ei toimenpiteitä","Kirjoita tähän mitä tehdään")</f>
        <v>Ei toimenpiteitä</v>
      </c>
      <c r="U79" s="19"/>
      <c r="V79" s="1"/>
      <c r="W79" s="1"/>
    </row>
    <row r="80" spans="1:23" s="56" customFormat="1" x14ac:dyDescent="0.35">
      <c r="A80" s="28" t="s">
        <v>93</v>
      </c>
      <c r="B80" s="29"/>
      <c r="C80" s="29"/>
      <c r="D80" s="137"/>
      <c r="E80" s="137"/>
      <c r="F80" s="57"/>
      <c r="G80" s="137"/>
      <c r="H80" s="137"/>
      <c r="I80" s="137"/>
      <c r="J80" s="137"/>
      <c r="K80" s="137"/>
      <c r="L80" s="142"/>
      <c r="M80" s="141"/>
      <c r="N80" s="144"/>
      <c r="O80" s="137"/>
      <c r="P80" s="137"/>
      <c r="Q80" s="137"/>
      <c r="R80" s="145"/>
      <c r="S80" s="61">
        <f t="shared" si="10"/>
        <v>0</v>
      </c>
      <c r="T80" s="79"/>
      <c r="U80" s="19"/>
      <c r="V80" s="41"/>
      <c r="W80" s="41"/>
    </row>
    <row r="81" spans="1:23" x14ac:dyDescent="0.35">
      <c r="A81" s="19"/>
      <c r="B81" s="332" t="str">
        <f>IF(T81="Kirjoita tähän mitä tehdään","Väliseinät *Rakennusselostus puuttuu","Väliseinät")</f>
        <v>Väliseinät</v>
      </c>
      <c r="C81" s="333"/>
      <c r="D81" s="165"/>
      <c r="E81" s="166"/>
      <c r="F81" s="244"/>
      <c r="G81" s="166"/>
      <c r="H81" s="264">
        <f t="shared" ref="H81:H143" si="11">G81*E81</f>
        <v>0</v>
      </c>
      <c r="I81" s="166"/>
      <c r="J81" s="166"/>
      <c r="K81" s="166"/>
      <c r="L81" s="264">
        <f t="shared" ref="L81:L147" si="12">H81+I81+J81*K81</f>
        <v>0</v>
      </c>
      <c r="M81" s="141"/>
      <c r="N81" s="177"/>
      <c r="O81" s="166"/>
      <c r="P81" s="167">
        <f>N81*20+O81*60</f>
        <v>0</v>
      </c>
      <c r="Q81" s="186"/>
      <c r="R81" s="179"/>
      <c r="S81" s="61">
        <f t="shared" si="10"/>
        <v>0</v>
      </c>
      <c r="T81" s="18" t="str" cm="1">
        <f t="array" ref="T81">IF(S81:S81=0,"Ei toimenpiteitä","Kirjoita tähän mitä tehdään")</f>
        <v>Ei toimenpiteitä</v>
      </c>
      <c r="U81" s="19"/>
      <c r="V81" s="1"/>
      <c r="W81" s="1"/>
    </row>
    <row r="82" spans="1:23" x14ac:dyDescent="0.35">
      <c r="A82" s="19"/>
      <c r="B82" s="329" t="str">
        <f>IF(T82="Kirjoita tähän mitä tehdään","Kaiteet *Rakennusselostus puuttuu","Kaiteet")</f>
        <v>Kaiteet</v>
      </c>
      <c r="C82" s="330"/>
      <c r="D82" s="168"/>
      <c r="E82" s="169"/>
      <c r="F82" s="245"/>
      <c r="G82" s="169"/>
      <c r="H82" s="265">
        <f t="shared" si="11"/>
        <v>0</v>
      </c>
      <c r="I82" s="169"/>
      <c r="J82" s="169"/>
      <c r="K82" s="169"/>
      <c r="L82" s="265">
        <f t="shared" si="12"/>
        <v>0</v>
      </c>
      <c r="M82" s="141"/>
      <c r="N82" s="180"/>
      <c r="O82" s="169"/>
      <c r="P82" s="170">
        <f t="shared" ref="P82:P147" si="13">N82*20+O82*60</f>
        <v>0</v>
      </c>
      <c r="Q82" s="187"/>
      <c r="R82" s="182"/>
      <c r="S82" s="61">
        <f t="shared" si="10"/>
        <v>0</v>
      </c>
      <c r="T82" s="18" t="str" cm="1">
        <f t="array" ref="T82">IF(S82:S82=0,"Ei toimenpiteitä","Kirjoita tähän mitä tehdään")</f>
        <v>Ei toimenpiteitä</v>
      </c>
      <c r="U82" s="19"/>
      <c r="V82" s="1"/>
      <c r="W82" s="1"/>
    </row>
    <row r="83" spans="1:23" x14ac:dyDescent="0.35">
      <c r="A83" s="19"/>
      <c r="B83" s="329" t="str">
        <f>IF(T83="Kirjoita tähän mitä tehdään","Väliovet *Rakennusselostus puuttuu","Väliovet")</f>
        <v>Väliovet</v>
      </c>
      <c r="C83" s="330"/>
      <c r="D83" s="168"/>
      <c r="E83" s="169"/>
      <c r="F83" s="245"/>
      <c r="G83" s="169"/>
      <c r="H83" s="265">
        <f t="shared" si="11"/>
        <v>0</v>
      </c>
      <c r="I83" s="169"/>
      <c r="J83" s="169"/>
      <c r="K83" s="169"/>
      <c r="L83" s="265">
        <f t="shared" si="12"/>
        <v>0</v>
      </c>
      <c r="M83" s="141"/>
      <c r="N83" s="180"/>
      <c r="O83" s="169"/>
      <c r="P83" s="170">
        <f t="shared" si="13"/>
        <v>0</v>
      </c>
      <c r="Q83" s="187"/>
      <c r="R83" s="182"/>
      <c r="S83" s="61">
        <f t="shared" si="10"/>
        <v>0</v>
      </c>
      <c r="T83" s="18" t="str" cm="1">
        <f t="array" ref="T83">IF(S83:S83=0,"Ei toimenpiteitä","Kirjoita tähän mitä tehdään")</f>
        <v>Ei toimenpiteitä</v>
      </c>
      <c r="U83" s="19"/>
      <c r="V83" s="1"/>
      <c r="W83" s="1"/>
    </row>
    <row r="84" spans="1:23" x14ac:dyDescent="0.35">
      <c r="A84" s="19"/>
      <c r="B84" s="329" t="str">
        <f>IF(T84="Kirjoita tähän mitä tehdään","Eritysovet *Rakennusselostus puuttuu","Eritysovet")</f>
        <v>Eritysovet</v>
      </c>
      <c r="C84" s="330"/>
      <c r="D84" s="168"/>
      <c r="E84" s="169"/>
      <c r="F84" s="245"/>
      <c r="G84" s="169"/>
      <c r="H84" s="265">
        <f t="shared" si="11"/>
        <v>0</v>
      </c>
      <c r="I84" s="169"/>
      <c r="J84" s="169"/>
      <c r="K84" s="169"/>
      <c r="L84" s="265">
        <f t="shared" si="12"/>
        <v>0</v>
      </c>
      <c r="M84" s="141"/>
      <c r="N84" s="180"/>
      <c r="O84" s="169"/>
      <c r="P84" s="170">
        <f t="shared" si="13"/>
        <v>0</v>
      </c>
      <c r="Q84" s="187"/>
      <c r="R84" s="182"/>
      <c r="S84" s="61">
        <f t="shared" si="10"/>
        <v>0</v>
      </c>
      <c r="T84" s="18" t="str" cm="1">
        <f t="array" ref="T84">IF(S84:S84=0,"Ei toimenpiteitä","Kirjoita tähän mitä tehdään")</f>
        <v>Ei toimenpiteitä</v>
      </c>
      <c r="U84" s="19"/>
      <c r="V84" s="1"/>
      <c r="W84" s="1"/>
    </row>
    <row r="85" spans="1:23" x14ac:dyDescent="0.35">
      <c r="A85" s="19"/>
      <c r="B85" s="329" t="str">
        <f>IF(T85="Kirjoita tähän mitä tehdään","Sisäportaat *Rakennusselostus puuttuu","Sisäportaat")</f>
        <v>Sisäportaat</v>
      </c>
      <c r="C85" s="330"/>
      <c r="D85" s="168"/>
      <c r="E85" s="169"/>
      <c r="F85" s="245"/>
      <c r="G85" s="169"/>
      <c r="H85" s="265">
        <f t="shared" si="11"/>
        <v>0</v>
      </c>
      <c r="I85" s="169"/>
      <c r="J85" s="169"/>
      <c r="K85" s="169"/>
      <c r="L85" s="265">
        <f t="shared" si="12"/>
        <v>0</v>
      </c>
      <c r="M85" s="141"/>
      <c r="N85" s="180"/>
      <c r="O85" s="169"/>
      <c r="P85" s="170">
        <f t="shared" si="13"/>
        <v>0</v>
      </c>
      <c r="Q85" s="187"/>
      <c r="R85" s="182"/>
      <c r="S85" s="61">
        <f t="shared" si="10"/>
        <v>0</v>
      </c>
      <c r="T85" s="18" t="str" cm="1">
        <f t="array" ref="T85">IF(S85:S85=0,"Ei toimenpiteitä","Kirjoita tähän mitä tehdään")</f>
        <v>Ei toimenpiteitä</v>
      </c>
      <c r="U85" s="19"/>
      <c r="V85" s="1"/>
      <c r="W85" s="1"/>
    </row>
    <row r="86" spans="1:23" x14ac:dyDescent="0.35">
      <c r="A86" s="19"/>
      <c r="B86" s="293" t="str">
        <f>IF(T86="Kirjoita tähän mitä tehdään","Muu rakennusosa: *Rakennusselostus puuttuu","Muu rakennusosa:")</f>
        <v>Muu rakennusosa:</v>
      </c>
      <c r="C86" s="175"/>
      <c r="D86" s="168"/>
      <c r="E86" s="169"/>
      <c r="F86" s="245"/>
      <c r="G86" s="169"/>
      <c r="H86" s="265">
        <f t="shared" si="11"/>
        <v>0</v>
      </c>
      <c r="I86" s="169"/>
      <c r="J86" s="169"/>
      <c r="K86" s="169"/>
      <c r="L86" s="265">
        <f t="shared" si="12"/>
        <v>0</v>
      </c>
      <c r="M86" s="141"/>
      <c r="N86" s="180"/>
      <c r="O86" s="169"/>
      <c r="P86" s="170">
        <f t="shared" si="13"/>
        <v>0</v>
      </c>
      <c r="Q86" s="187"/>
      <c r="R86" s="182"/>
      <c r="S86" s="61">
        <f t="shared" si="10"/>
        <v>0</v>
      </c>
      <c r="T86" s="18" t="str" cm="1">
        <f t="array" ref="T86">IF(S86:S86=0,"Ei toimenpiteitä","Kirjoita tähän mitä tehdään")</f>
        <v>Ei toimenpiteitä</v>
      </c>
      <c r="U86" s="19"/>
      <c r="V86" s="1"/>
      <c r="W86" s="1"/>
    </row>
    <row r="87" spans="1:23" x14ac:dyDescent="0.35">
      <c r="A87" s="19"/>
      <c r="B87" s="305" t="str">
        <f>IF(T87="Kirjoita tähän mitä tehdään","Muu rakennusosa: *Rakennusselostus puuttuu","Muu rakennusosa:")</f>
        <v>Muu rakennusosa:</v>
      </c>
      <c r="C87" s="176"/>
      <c r="D87" s="171"/>
      <c r="E87" s="172"/>
      <c r="F87" s="245"/>
      <c r="G87" s="172"/>
      <c r="H87" s="266">
        <f t="shared" si="11"/>
        <v>0</v>
      </c>
      <c r="I87" s="172"/>
      <c r="J87" s="172"/>
      <c r="K87" s="172"/>
      <c r="L87" s="266">
        <f t="shared" si="12"/>
        <v>0</v>
      </c>
      <c r="M87" s="141"/>
      <c r="N87" s="183"/>
      <c r="O87" s="172"/>
      <c r="P87" s="173">
        <f t="shared" si="13"/>
        <v>0</v>
      </c>
      <c r="Q87" s="188"/>
      <c r="R87" s="185"/>
      <c r="S87" s="61">
        <f t="shared" si="10"/>
        <v>0</v>
      </c>
      <c r="T87" s="18" t="str" cm="1">
        <f t="array" ref="T87">IF(S87:S87=0,"Ei toimenpiteitä","Kirjoita tähän mitä tehdään")</f>
        <v>Ei toimenpiteitä</v>
      </c>
      <c r="U87" s="19"/>
      <c r="V87" s="1"/>
      <c r="W87" s="1"/>
    </row>
    <row r="88" spans="1:23" s="56" customFormat="1" x14ac:dyDescent="0.35">
      <c r="A88" s="28" t="s">
        <v>97</v>
      </c>
      <c r="B88" s="29"/>
      <c r="C88" s="29"/>
      <c r="D88" s="137"/>
      <c r="E88" s="137"/>
      <c r="F88" s="57"/>
      <c r="G88" s="137"/>
      <c r="H88" s="137"/>
      <c r="I88" s="137"/>
      <c r="J88" s="137"/>
      <c r="K88" s="137"/>
      <c r="L88" s="142"/>
      <c r="M88" s="141"/>
      <c r="N88" s="144"/>
      <c r="O88" s="137"/>
      <c r="P88" s="137"/>
      <c r="Q88" s="137"/>
      <c r="R88" s="145"/>
      <c r="S88" s="61">
        <f t="shared" si="10"/>
        <v>0</v>
      </c>
      <c r="T88" s="79"/>
      <c r="U88" s="19"/>
      <c r="V88" s="41"/>
      <c r="W88" s="41"/>
    </row>
    <row r="89" spans="1:23" x14ac:dyDescent="0.35">
      <c r="A89" s="19"/>
      <c r="B89" s="332" t="str">
        <f>IF(T89="Kirjoita tähän mitä tehdään","Lattiapäällysteet  *Rakennusselostus puuttuu","Lattiapäällysteet ")</f>
        <v xml:space="preserve">Lattiapäällysteet </v>
      </c>
      <c r="C89" s="333"/>
      <c r="D89" s="165"/>
      <c r="E89" s="166"/>
      <c r="F89" s="244"/>
      <c r="G89" s="166"/>
      <c r="H89" s="264">
        <f t="shared" si="11"/>
        <v>0</v>
      </c>
      <c r="I89" s="166"/>
      <c r="J89" s="166"/>
      <c r="K89" s="166"/>
      <c r="L89" s="264">
        <f t="shared" si="12"/>
        <v>0</v>
      </c>
      <c r="M89" s="141"/>
      <c r="N89" s="177"/>
      <c r="O89" s="166"/>
      <c r="P89" s="167">
        <f t="shared" si="13"/>
        <v>0</v>
      </c>
      <c r="Q89" s="186"/>
      <c r="R89" s="179"/>
      <c r="S89" s="61">
        <f t="shared" si="10"/>
        <v>0</v>
      </c>
      <c r="T89" s="18" t="str" cm="1">
        <f t="array" ref="T89">IF(S89:S89=0,"Ei toimenpiteitä","Kirjoita tähän mitä tehdään")</f>
        <v>Ei toimenpiteitä</v>
      </c>
      <c r="U89" s="19"/>
      <c r="V89" s="1"/>
      <c r="W89" s="1"/>
    </row>
    <row r="90" spans="1:23" x14ac:dyDescent="0.35">
      <c r="A90" s="19"/>
      <c r="B90" s="329" t="str">
        <f>IF(T90="Kirjoita tähän mitä tehdään","Lattian pintakäsittelyt *Rakennusselostus puuttuu","Lattian pintakäsittelyt")</f>
        <v>Lattian pintakäsittelyt</v>
      </c>
      <c r="C90" s="330"/>
      <c r="D90" s="168"/>
      <c r="E90" s="169"/>
      <c r="F90" s="245"/>
      <c r="G90" s="169"/>
      <c r="H90" s="265">
        <f t="shared" si="11"/>
        <v>0</v>
      </c>
      <c r="I90" s="169"/>
      <c r="J90" s="169"/>
      <c r="K90" s="169"/>
      <c r="L90" s="265">
        <f t="shared" si="12"/>
        <v>0</v>
      </c>
      <c r="M90" s="141"/>
      <c r="N90" s="180"/>
      <c r="O90" s="169"/>
      <c r="P90" s="170">
        <f t="shared" si="13"/>
        <v>0</v>
      </c>
      <c r="Q90" s="187"/>
      <c r="R90" s="182"/>
      <c r="S90" s="61">
        <f t="shared" si="10"/>
        <v>0</v>
      </c>
      <c r="T90" s="18" t="str" cm="1">
        <f t="array" ref="T90">IF(S90:S90=0,"Ei toimenpiteitä","Kirjoita tähän mitä tehdään")</f>
        <v>Ei toimenpiteitä</v>
      </c>
      <c r="U90" s="19"/>
      <c r="V90" s="1"/>
      <c r="W90" s="1"/>
    </row>
    <row r="91" spans="1:23" x14ac:dyDescent="0.35">
      <c r="A91" s="19"/>
      <c r="B91" s="329" t="str">
        <f>IF(T91="Kirjoita tähän mitä tehdään","Sisäkattorakenteet *Rakennusselostus puuttuu","Sisäkattorakenteet")</f>
        <v>Sisäkattorakenteet</v>
      </c>
      <c r="C91" s="330"/>
      <c r="D91" s="168"/>
      <c r="E91" s="169"/>
      <c r="F91" s="245"/>
      <c r="G91" s="169"/>
      <c r="H91" s="265">
        <f t="shared" si="11"/>
        <v>0</v>
      </c>
      <c r="I91" s="169"/>
      <c r="J91" s="169"/>
      <c r="K91" s="169"/>
      <c r="L91" s="265">
        <f t="shared" si="12"/>
        <v>0</v>
      </c>
      <c r="M91" s="141"/>
      <c r="N91" s="180"/>
      <c r="O91" s="169"/>
      <c r="P91" s="170">
        <f t="shared" si="13"/>
        <v>0</v>
      </c>
      <c r="Q91" s="187"/>
      <c r="R91" s="182"/>
      <c r="S91" s="61">
        <f t="shared" si="10"/>
        <v>0</v>
      </c>
      <c r="T91" s="18" t="str" cm="1">
        <f t="array" ref="T91">IF(S91:S91=0,"Ei toimenpiteitä","Kirjoita tähän mitä tehdään")</f>
        <v>Ei toimenpiteitä</v>
      </c>
      <c r="U91" s="19"/>
      <c r="V91" s="1"/>
      <c r="W91" s="1"/>
    </row>
    <row r="92" spans="1:23" x14ac:dyDescent="0.35">
      <c r="A92" s="19"/>
      <c r="B92" s="329" t="str">
        <f>IF(T92="Kirjoita tähän mitä tehdään","Sisäkattojen pintakäsittelyt *Rakennusselostus puuttuu","Sisäkattojen pintakäsittelyt")</f>
        <v>Sisäkattojen pintakäsittelyt</v>
      </c>
      <c r="C92" s="330"/>
      <c r="D92" s="168"/>
      <c r="E92" s="169"/>
      <c r="F92" s="245"/>
      <c r="G92" s="169"/>
      <c r="H92" s="265">
        <f t="shared" si="11"/>
        <v>0</v>
      </c>
      <c r="I92" s="169"/>
      <c r="J92" s="169"/>
      <c r="K92" s="169"/>
      <c r="L92" s="265">
        <f t="shared" si="12"/>
        <v>0</v>
      </c>
      <c r="M92" s="141"/>
      <c r="N92" s="180"/>
      <c r="O92" s="169"/>
      <c r="P92" s="170">
        <f t="shared" si="13"/>
        <v>0</v>
      </c>
      <c r="Q92" s="187"/>
      <c r="R92" s="182"/>
      <c r="S92" s="61">
        <f t="shared" si="10"/>
        <v>0</v>
      </c>
      <c r="T92" s="18" t="str" cm="1">
        <f t="array" ref="T92">IF(S92:S92=0,"Ei toimenpiteitä","Kirjoita tähän mitä tehdään")</f>
        <v>Ei toimenpiteitä</v>
      </c>
      <c r="U92" s="19"/>
      <c r="V92" s="1"/>
      <c r="W92" s="1"/>
    </row>
    <row r="93" spans="1:23" x14ac:dyDescent="0.35">
      <c r="A93" s="19"/>
      <c r="B93" s="329" t="str">
        <f>IF(T93="Kirjoita tähän mitä tehdään","Seinien pintarakenteet *Rakennusselostus puuttuu","Seinien pintarakenteet")</f>
        <v>Seinien pintarakenteet</v>
      </c>
      <c r="C93" s="330"/>
      <c r="D93" s="168"/>
      <c r="E93" s="169"/>
      <c r="F93" s="245"/>
      <c r="G93" s="169"/>
      <c r="H93" s="265">
        <f t="shared" si="11"/>
        <v>0</v>
      </c>
      <c r="I93" s="169"/>
      <c r="J93" s="169"/>
      <c r="K93" s="169"/>
      <c r="L93" s="265">
        <f t="shared" si="12"/>
        <v>0</v>
      </c>
      <c r="M93" s="141"/>
      <c r="N93" s="180"/>
      <c r="O93" s="169"/>
      <c r="P93" s="170">
        <f t="shared" si="13"/>
        <v>0</v>
      </c>
      <c r="Q93" s="187"/>
      <c r="R93" s="182"/>
      <c r="S93" s="61">
        <f t="shared" si="10"/>
        <v>0</v>
      </c>
      <c r="T93" s="18" t="str" cm="1">
        <f t="array" ref="T93">IF(S93:S93=0,"Ei toimenpiteitä","Kirjoita tähän mitä tehdään")</f>
        <v>Ei toimenpiteitä</v>
      </c>
      <c r="U93" s="19"/>
      <c r="V93" s="1"/>
      <c r="W93" s="1"/>
    </row>
    <row r="94" spans="1:23" x14ac:dyDescent="0.35">
      <c r="A94" s="19"/>
      <c r="B94" s="329" t="str">
        <f>IF(T94="Kirjoita tähän mitä tehdään","Seinäpinnoitteet ja pintakäsittelyt *Rakennusselostus puuttuu","Seinäpinnoitteet ja pintakäsittelyt")</f>
        <v>Seinäpinnoitteet ja pintakäsittelyt</v>
      </c>
      <c r="C94" s="330"/>
      <c r="D94" s="168"/>
      <c r="E94" s="169"/>
      <c r="F94" s="245"/>
      <c r="G94" s="169"/>
      <c r="H94" s="265">
        <f t="shared" si="11"/>
        <v>0</v>
      </c>
      <c r="I94" s="169"/>
      <c r="J94" s="169"/>
      <c r="K94" s="169"/>
      <c r="L94" s="265">
        <f t="shared" si="12"/>
        <v>0</v>
      </c>
      <c r="M94" s="141"/>
      <c r="N94" s="180"/>
      <c r="O94" s="169"/>
      <c r="P94" s="170">
        <f t="shared" si="13"/>
        <v>0</v>
      </c>
      <c r="Q94" s="187"/>
      <c r="R94" s="182"/>
      <c r="S94" s="61">
        <f t="shared" si="10"/>
        <v>0</v>
      </c>
      <c r="T94" s="18" t="str" cm="1">
        <f t="array" ref="T94">IF(S94:S94=0,"Ei toimenpiteitä","Kirjoita tähän mitä tehdään")</f>
        <v>Ei toimenpiteitä</v>
      </c>
      <c r="U94" s="19"/>
      <c r="V94" s="1"/>
      <c r="W94" s="1"/>
    </row>
    <row r="95" spans="1:23" x14ac:dyDescent="0.35">
      <c r="A95" s="19"/>
      <c r="B95" s="305" t="str">
        <f>IF(T95="Kirjoita tähän mitä tehdään","Muut tilapinnat: *Rakennusselostus puuttuu","Muut tilapinnat:")</f>
        <v>Muut tilapinnat:</v>
      </c>
      <c r="C95" s="176"/>
      <c r="D95" s="171"/>
      <c r="E95" s="172"/>
      <c r="F95" s="245"/>
      <c r="G95" s="172"/>
      <c r="H95" s="266">
        <f t="shared" si="11"/>
        <v>0</v>
      </c>
      <c r="I95" s="172"/>
      <c r="J95" s="172"/>
      <c r="K95" s="172"/>
      <c r="L95" s="266">
        <f t="shared" si="12"/>
        <v>0</v>
      </c>
      <c r="M95" s="141"/>
      <c r="N95" s="183"/>
      <c r="O95" s="172"/>
      <c r="P95" s="173">
        <f t="shared" si="13"/>
        <v>0</v>
      </c>
      <c r="Q95" s="188"/>
      <c r="R95" s="185"/>
      <c r="S95" s="61">
        <f t="shared" si="10"/>
        <v>0</v>
      </c>
      <c r="T95" s="18" t="str" cm="1">
        <f t="array" ref="T95">IF(S95:S95=0,"Ei toimenpiteitä","Kirjoita tähän mitä tehdään")</f>
        <v>Ei toimenpiteitä</v>
      </c>
      <c r="U95" s="19"/>
      <c r="V95" s="1"/>
      <c r="W95" s="1"/>
    </row>
    <row r="96" spans="1:23" s="56" customFormat="1" x14ac:dyDescent="0.35">
      <c r="A96" s="28" t="s">
        <v>103</v>
      </c>
      <c r="B96" s="29"/>
      <c r="C96" s="29"/>
      <c r="D96" s="137"/>
      <c r="E96" s="137"/>
      <c r="F96" s="57"/>
      <c r="G96" s="137"/>
      <c r="H96" s="137"/>
      <c r="I96" s="137"/>
      <c r="J96" s="137"/>
      <c r="K96" s="137"/>
      <c r="L96" s="142"/>
      <c r="M96" s="141"/>
      <c r="N96" s="144"/>
      <c r="O96" s="137"/>
      <c r="P96" s="137"/>
      <c r="Q96" s="137"/>
      <c r="R96" s="145"/>
      <c r="S96" s="61">
        <f t="shared" si="10"/>
        <v>0</v>
      </c>
      <c r="T96" s="79"/>
      <c r="U96" s="19"/>
      <c r="V96" s="41"/>
      <c r="W96" s="41"/>
    </row>
    <row r="97" spans="1:23" x14ac:dyDescent="0.35">
      <c r="A97" s="19"/>
      <c r="B97" s="332" t="str">
        <f>IF(T97="Kirjoita tähän mitä tehdään","Kiintokalusteet *Rakennusselostus puuttuu","Kiintokalusteet")</f>
        <v>Kiintokalusteet</v>
      </c>
      <c r="C97" s="333"/>
      <c r="D97" s="165"/>
      <c r="E97" s="166"/>
      <c r="F97" s="244"/>
      <c r="G97" s="166"/>
      <c r="H97" s="264">
        <f t="shared" si="11"/>
        <v>0</v>
      </c>
      <c r="I97" s="166"/>
      <c r="J97" s="166"/>
      <c r="K97" s="166"/>
      <c r="L97" s="264">
        <f t="shared" si="12"/>
        <v>0</v>
      </c>
      <c r="M97" s="141"/>
      <c r="N97" s="177"/>
      <c r="O97" s="166"/>
      <c r="P97" s="167">
        <f t="shared" si="13"/>
        <v>0</v>
      </c>
      <c r="Q97" s="186"/>
      <c r="R97" s="179"/>
      <c r="S97" s="61">
        <f t="shared" si="10"/>
        <v>0</v>
      </c>
      <c r="T97" s="18" t="str" cm="1">
        <f t="array" ref="T97">IF(S97:S97=0,"Ei toimenpiteitä","Kirjoita tähän mitä tehdään")</f>
        <v>Ei toimenpiteitä</v>
      </c>
      <c r="U97" s="19"/>
      <c r="V97" s="1"/>
      <c r="W97" s="1"/>
    </row>
    <row r="98" spans="1:23" x14ac:dyDescent="0.35">
      <c r="A98" s="19"/>
      <c r="B98" s="329" t="str">
        <f>IF(T98="Kirjoita tähän mitä tehdään","Varusteet (naulakot, verholaudat/kiskot) *Rakennusselostus puuttuu","Varusteet (naulakot, verholaudat/kiskot)")</f>
        <v>Varusteet (naulakot, verholaudat/kiskot)</v>
      </c>
      <c r="C98" s="330"/>
      <c r="D98" s="168"/>
      <c r="E98" s="169"/>
      <c r="F98" s="245"/>
      <c r="G98" s="169"/>
      <c r="H98" s="265">
        <f t="shared" si="11"/>
        <v>0</v>
      </c>
      <c r="I98" s="169"/>
      <c r="J98" s="169"/>
      <c r="K98" s="169"/>
      <c r="L98" s="265">
        <f t="shared" si="12"/>
        <v>0</v>
      </c>
      <c r="M98" s="141"/>
      <c r="N98" s="180"/>
      <c r="O98" s="169"/>
      <c r="P98" s="170">
        <f t="shared" si="13"/>
        <v>0</v>
      </c>
      <c r="Q98" s="187"/>
      <c r="R98" s="182"/>
      <c r="S98" s="61">
        <f t="shared" si="10"/>
        <v>0</v>
      </c>
      <c r="T98" s="18" t="str" cm="1">
        <f t="array" ref="T98">IF(S98:S98=0,"Ei toimenpiteitä","Kirjoita tähän mitä tehdään")</f>
        <v>Ei toimenpiteitä</v>
      </c>
      <c r="U98" s="19"/>
      <c r="V98" s="1"/>
      <c r="W98" s="1"/>
    </row>
    <row r="99" spans="1:23" x14ac:dyDescent="0.35">
      <c r="A99" s="19"/>
      <c r="B99" s="329" t="str">
        <f>IF(T99="Kirjoita tähän mitä tehdään","Liedet *Rakennusselostus puuttuu","Liedet")</f>
        <v>Liedet</v>
      </c>
      <c r="C99" s="330"/>
      <c r="D99" s="168"/>
      <c r="E99" s="169"/>
      <c r="F99" s="245"/>
      <c r="G99" s="169"/>
      <c r="H99" s="265">
        <f t="shared" si="11"/>
        <v>0</v>
      </c>
      <c r="I99" s="169"/>
      <c r="J99" s="169"/>
      <c r="K99" s="169"/>
      <c r="L99" s="265">
        <f t="shared" si="12"/>
        <v>0</v>
      </c>
      <c r="M99" s="141"/>
      <c r="N99" s="180"/>
      <c r="O99" s="169"/>
      <c r="P99" s="170">
        <f t="shared" si="13"/>
        <v>0</v>
      </c>
      <c r="Q99" s="187"/>
      <c r="R99" s="182"/>
      <c r="S99" s="61">
        <f t="shared" si="10"/>
        <v>0</v>
      </c>
      <c r="T99" s="18" t="str" cm="1">
        <f t="array" ref="T99">IF(S99:S99=0,"Ei toimenpiteitä","Kirjoita tähän mitä tehdään")</f>
        <v>Ei toimenpiteitä</v>
      </c>
      <c r="U99" s="19"/>
      <c r="V99" s="1"/>
      <c r="W99" s="1"/>
    </row>
    <row r="100" spans="1:23" x14ac:dyDescent="0.35">
      <c r="A100" s="19"/>
      <c r="B100" s="329" t="str">
        <f>IF(T100="Kirjoita tähän mitä tehdään","Jääkaapit *Rakennusselostus puuttuu","Jääkaapit")</f>
        <v>Jääkaapit</v>
      </c>
      <c r="C100" s="330"/>
      <c r="D100" s="168"/>
      <c r="E100" s="169"/>
      <c r="F100" s="245"/>
      <c r="G100" s="169"/>
      <c r="H100" s="265">
        <f t="shared" si="11"/>
        <v>0</v>
      </c>
      <c r="I100" s="169"/>
      <c r="J100" s="169"/>
      <c r="K100" s="169"/>
      <c r="L100" s="265">
        <f t="shared" si="12"/>
        <v>0</v>
      </c>
      <c r="M100" s="141"/>
      <c r="N100" s="180"/>
      <c r="O100" s="169"/>
      <c r="P100" s="170">
        <f t="shared" si="13"/>
        <v>0</v>
      </c>
      <c r="Q100" s="187"/>
      <c r="R100" s="182"/>
      <c r="S100" s="61">
        <f t="shared" si="10"/>
        <v>0</v>
      </c>
      <c r="T100" s="18" t="str" cm="1">
        <f t="array" ref="T100">IF(S100:S100=0,"Ei toimenpiteitä","Kirjoita tähän mitä tehdään")</f>
        <v>Ei toimenpiteitä</v>
      </c>
      <c r="U100" s="19"/>
      <c r="V100" s="1"/>
      <c r="W100" s="1"/>
    </row>
    <row r="101" spans="1:23" x14ac:dyDescent="0.35">
      <c r="A101" s="19"/>
      <c r="B101" s="329" t="str">
        <f>IF(T101="Kirjoita tähän mitä tehdään","Pakastimet *Rakennusselostus puuttuu","Pakastimet")</f>
        <v>Pakastimet</v>
      </c>
      <c r="C101" s="330"/>
      <c r="D101" s="168"/>
      <c r="E101" s="169"/>
      <c r="F101" s="245"/>
      <c r="G101" s="169"/>
      <c r="H101" s="265">
        <f t="shared" si="11"/>
        <v>0</v>
      </c>
      <c r="I101" s="169"/>
      <c r="J101" s="169"/>
      <c r="K101" s="169"/>
      <c r="L101" s="265">
        <f t="shared" si="12"/>
        <v>0</v>
      </c>
      <c r="M101" s="141"/>
      <c r="N101" s="180"/>
      <c r="O101" s="169"/>
      <c r="P101" s="170">
        <f t="shared" si="13"/>
        <v>0</v>
      </c>
      <c r="Q101" s="187"/>
      <c r="R101" s="182"/>
      <c r="S101" s="61">
        <f t="shared" si="10"/>
        <v>0</v>
      </c>
      <c r="T101" s="18" t="str" cm="1">
        <f t="array" ref="T101">IF(S101:S101=0,"Ei toimenpiteitä","Kirjoita tähän mitä tehdään")</f>
        <v>Ei toimenpiteitä</v>
      </c>
      <c r="U101" s="19"/>
      <c r="V101" s="1"/>
      <c r="W101" s="1"/>
    </row>
    <row r="102" spans="1:23" x14ac:dyDescent="0.35">
      <c r="A102" s="19"/>
      <c r="B102" s="329" t="str">
        <f>IF(T102="Kirjoita tähän mitä tehdään","Uunit *Rakennusselostus puuttuu","Uunit")</f>
        <v>Uunit</v>
      </c>
      <c r="C102" s="330"/>
      <c r="D102" s="168"/>
      <c r="E102" s="169"/>
      <c r="F102" s="245"/>
      <c r="G102" s="169"/>
      <c r="H102" s="265">
        <f t="shared" si="11"/>
        <v>0</v>
      </c>
      <c r="I102" s="169"/>
      <c r="J102" s="169"/>
      <c r="K102" s="169"/>
      <c r="L102" s="265">
        <f t="shared" si="12"/>
        <v>0</v>
      </c>
      <c r="M102" s="141"/>
      <c r="N102" s="180"/>
      <c r="O102" s="169"/>
      <c r="P102" s="170">
        <f t="shared" si="13"/>
        <v>0</v>
      </c>
      <c r="Q102" s="187"/>
      <c r="R102" s="182"/>
      <c r="S102" s="61">
        <f t="shared" si="10"/>
        <v>0</v>
      </c>
      <c r="T102" s="18" t="str" cm="1">
        <f t="array" ref="T102">IF(S102:S102=0,"Ei toimenpiteitä","Kirjoita tähän mitä tehdään")</f>
        <v>Ei toimenpiteitä</v>
      </c>
      <c r="U102" s="19"/>
      <c r="V102" s="1"/>
      <c r="W102" s="1"/>
    </row>
    <row r="103" spans="1:23" x14ac:dyDescent="0.35">
      <c r="A103" s="19"/>
      <c r="B103" s="329" t="str">
        <f>IF(T103="Kirjoita tähän mitä tehdään","Kiukaat *Rakennusselostus puuttuu","Kiukaat")</f>
        <v>Kiukaat</v>
      </c>
      <c r="C103" s="330"/>
      <c r="D103" s="168"/>
      <c r="E103" s="169"/>
      <c r="F103" s="245"/>
      <c r="G103" s="169"/>
      <c r="H103" s="265">
        <f t="shared" si="11"/>
        <v>0</v>
      </c>
      <c r="I103" s="169"/>
      <c r="J103" s="169"/>
      <c r="K103" s="169"/>
      <c r="L103" s="265">
        <f t="shared" si="12"/>
        <v>0</v>
      </c>
      <c r="M103" s="141"/>
      <c r="N103" s="180"/>
      <c r="O103" s="169"/>
      <c r="P103" s="170">
        <f t="shared" si="13"/>
        <v>0</v>
      </c>
      <c r="Q103" s="187"/>
      <c r="R103" s="182"/>
      <c r="S103" s="61">
        <f t="shared" si="10"/>
        <v>0</v>
      </c>
      <c r="T103" s="18" t="str" cm="1">
        <f t="array" ref="T103">IF(S103:S103=0,"Ei toimenpiteitä","Kirjoita tähän mitä tehdään")</f>
        <v>Ei toimenpiteitä</v>
      </c>
      <c r="U103" s="19"/>
      <c r="V103" s="1"/>
      <c r="W103" s="1"/>
    </row>
    <row r="104" spans="1:23" x14ac:dyDescent="0.35">
      <c r="A104" s="19"/>
      <c r="B104" s="329" t="str">
        <f>IF(T104="Kirjoita tähän mitä tehdään","Opasteet *Rakennusselostus puuttuu","Opasteet")</f>
        <v>Opasteet</v>
      </c>
      <c r="C104" s="330"/>
      <c r="D104" s="168"/>
      <c r="E104" s="169"/>
      <c r="F104" s="245"/>
      <c r="G104" s="169"/>
      <c r="H104" s="265">
        <f t="shared" si="11"/>
        <v>0</v>
      </c>
      <c r="I104" s="169"/>
      <c r="J104" s="169"/>
      <c r="K104" s="169"/>
      <c r="L104" s="265">
        <f t="shared" si="12"/>
        <v>0</v>
      </c>
      <c r="M104" s="141"/>
      <c r="N104" s="180"/>
      <c r="O104" s="169"/>
      <c r="P104" s="170">
        <f t="shared" si="13"/>
        <v>0</v>
      </c>
      <c r="Q104" s="187"/>
      <c r="R104" s="182"/>
      <c r="S104" s="61">
        <f t="shared" si="10"/>
        <v>0</v>
      </c>
      <c r="T104" s="18" t="str" cm="1">
        <f t="array" ref="T104">IF(S104:S104=0,"Ei toimenpiteitä","Kirjoita tähän mitä tehdään")</f>
        <v>Ei toimenpiteitä</v>
      </c>
      <c r="U104" s="19"/>
      <c r="V104" s="1"/>
      <c r="W104" s="1"/>
    </row>
    <row r="105" spans="1:23" x14ac:dyDescent="0.35">
      <c r="A105" s="19"/>
      <c r="B105" s="293" t="str">
        <f>IF(T105="Kirjoita tähän mitä tehdään","Muu laite: *Rakennusselostus puuttuu","Muu laite:")</f>
        <v>Muu laite:</v>
      </c>
      <c r="C105" s="175"/>
      <c r="D105" s="168"/>
      <c r="E105" s="169"/>
      <c r="F105" s="245"/>
      <c r="G105" s="169"/>
      <c r="H105" s="265">
        <f t="shared" si="11"/>
        <v>0</v>
      </c>
      <c r="I105" s="169"/>
      <c r="J105" s="169"/>
      <c r="K105" s="169"/>
      <c r="L105" s="265">
        <f t="shared" si="12"/>
        <v>0</v>
      </c>
      <c r="M105" s="141"/>
      <c r="N105" s="180"/>
      <c r="O105" s="169"/>
      <c r="P105" s="170">
        <f t="shared" si="13"/>
        <v>0</v>
      </c>
      <c r="Q105" s="187"/>
      <c r="R105" s="182"/>
      <c r="S105" s="61">
        <f t="shared" si="10"/>
        <v>0</v>
      </c>
      <c r="T105" s="18" t="str" cm="1">
        <f t="array" ref="T105">IF(S105:S105=0,"Ei toimenpiteitä","Kirjoita tähän mitä tehdään")</f>
        <v>Ei toimenpiteitä</v>
      </c>
      <c r="U105" s="19"/>
      <c r="V105" s="1"/>
      <c r="W105" s="1"/>
    </row>
    <row r="106" spans="1:23" x14ac:dyDescent="0.35">
      <c r="A106" s="19"/>
      <c r="B106" s="293" t="str">
        <f>IF(T106="Kirjoita tähän mitä tehdään","Muu laite: *Rakennusselostus puuttuu","Muu laite:")</f>
        <v>Muu laite:</v>
      </c>
      <c r="C106" s="175"/>
      <c r="D106" s="168"/>
      <c r="E106" s="169"/>
      <c r="F106" s="245"/>
      <c r="G106" s="169"/>
      <c r="H106" s="265">
        <f t="shared" si="11"/>
        <v>0</v>
      </c>
      <c r="I106" s="169"/>
      <c r="J106" s="169"/>
      <c r="K106" s="169"/>
      <c r="L106" s="265">
        <f t="shared" si="12"/>
        <v>0</v>
      </c>
      <c r="M106" s="141"/>
      <c r="N106" s="180"/>
      <c r="O106" s="169"/>
      <c r="P106" s="170">
        <f t="shared" si="13"/>
        <v>0</v>
      </c>
      <c r="Q106" s="187"/>
      <c r="R106" s="182"/>
      <c r="S106" s="61">
        <f t="shared" si="10"/>
        <v>0</v>
      </c>
      <c r="T106" s="18" t="str" cm="1">
        <f t="array" ref="T106">IF(S106:S106=0,"Ei toimenpiteitä","Kirjoita tähän mitä tehdään")</f>
        <v>Ei toimenpiteitä</v>
      </c>
      <c r="U106" s="19"/>
      <c r="V106" s="1"/>
      <c r="W106" s="1"/>
    </row>
    <row r="107" spans="1:23" x14ac:dyDescent="0.35">
      <c r="A107" s="19"/>
      <c r="B107" s="305" t="str">
        <f>IF(T107="Kirjoita tähän mitä tehdään","Muu laite: *Rakennusselostus puuttuu","Muu laite:")</f>
        <v>Muu laite:</v>
      </c>
      <c r="C107" s="176"/>
      <c r="D107" s="171"/>
      <c r="E107" s="172"/>
      <c r="F107" s="245"/>
      <c r="G107" s="172"/>
      <c r="H107" s="266">
        <f t="shared" si="11"/>
        <v>0</v>
      </c>
      <c r="I107" s="172"/>
      <c r="J107" s="172"/>
      <c r="K107" s="172"/>
      <c r="L107" s="266">
        <f t="shared" si="12"/>
        <v>0</v>
      </c>
      <c r="M107" s="141"/>
      <c r="N107" s="183"/>
      <c r="O107" s="172"/>
      <c r="P107" s="173">
        <f t="shared" si="13"/>
        <v>0</v>
      </c>
      <c r="Q107" s="188"/>
      <c r="R107" s="185"/>
      <c r="S107" s="61">
        <f t="shared" si="10"/>
        <v>0</v>
      </c>
      <c r="T107" s="18" t="str" cm="1">
        <f t="array" ref="T107">IF(S107:S107=0,"Ei toimenpiteitä","Kirjoita tähän mitä tehdään")</f>
        <v>Ei toimenpiteitä</v>
      </c>
      <c r="U107" s="19"/>
      <c r="V107" s="1"/>
      <c r="W107" s="1"/>
    </row>
    <row r="108" spans="1:23" s="56" customFormat="1" x14ac:dyDescent="0.35">
      <c r="A108" s="28" t="s">
        <v>111</v>
      </c>
      <c r="B108" s="29"/>
      <c r="C108" s="29"/>
      <c r="D108" s="137"/>
      <c r="E108" s="137"/>
      <c r="F108" s="57"/>
      <c r="G108" s="137"/>
      <c r="H108" s="137"/>
      <c r="I108" s="137"/>
      <c r="J108" s="137"/>
      <c r="K108" s="137"/>
      <c r="L108" s="142"/>
      <c r="M108" s="141"/>
      <c r="N108" s="144"/>
      <c r="O108" s="137"/>
      <c r="P108" s="137"/>
      <c r="Q108" s="137"/>
      <c r="R108" s="145"/>
      <c r="S108" s="61">
        <f t="shared" si="10"/>
        <v>0</v>
      </c>
      <c r="T108" s="79"/>
      <c r="U108" s="19"/>
      <c r="V108" s="41"/>
      <c r="W108" s="41"/>
    </row>
    <row r="109" spans="1:23" x14ac:dyDescent="0.35">
      <c r="A109" s="19"/>
      <c r="B109" s="332" t="str">
        <f>IF(T109="Kirjoita tähän mitä tehdään","Tulisijat  *Rakennusselostus puuttuu","Tulisijat ")</f>
        <v xml:space="preserve">Tulisijat </v>
      </c>
      <c r="C109" s="333"/>
      <c r="D109" s="165"/>
      <c r="E109" s="166"/>
      <c r="F109" s="244"/>
      <c r="G109" s="166"/>
      <c r="H109" s="264">
        <f t="shared" si="11"/>
        <v>0</v>
      </c>
      <c r="I109" s="166"/>
      <c r="J109" s="166"/>
      <c r="K109" s="166"/>
      <c r="L109" s="264">
        <f t="shared" si="12"/>
        <v>0</v>
      </c>
      <c r="M109" s="141"/>
      <c r="N109" s="177"/>
      <c r="O109" s="166"/>
      <c r="P109" s="167">
        <f t="shared" si="13"/>
        <v>0</v>
      </c>
      <c r="Q109" s="186"/>
      <c r="R109" s="179"/>
      <c r="S109" s="61">
        <f t="shared" si="10"/>
        <v>0</v>
      </c>
      <c r="T109" s="18" t="str" cm="1">
        <f t="array" ref="T109">IF(S109:S109=0,"Ei toimenpiteitä","Kirjoita tähän mitä tehdään")</f>
        <v>Ei toimenpiteitä</v>
      </c>
      <c r="U109" s="19"/>
      <c r="V109" s="1"/>
      <c r="W109" s="1"/>
    </row>
    <row r="110" spans="1:23" x14ac:dyDescent="0.35">
      <c r="A110" s="19"/>
      <c r="B110" s="329" t="str">
        <f>IF(T110="Kirjoita tähän mitä tehdään","Savuhormit *Rakennusselostus puuttuu","Savuhormit")</f>
        <v>Savuhormit</v>
      </c>
      <c r="C110" s="330"/>
      <c r="D110" s="168"/>
      <c r="E110" s="169"/>
      <c r="F110" s="245"/>
      <c r="G110" s="169"/>
      <c r="H110" s="265">
        <f t="shared" si="11"/>
        <v>0</v>
      </c>
      <c r="I110" s="169"/>
      <c r="J110" s="169"/>
      <c r="K110" s="169"/>
      <c r="L110" s="265">
        <f t="shared" si="12"/>
        <v>0</v>
      </c>
      <c r="M110" s="141"/>
      <c r="N110" s="180"/>
      <c r="O110" s="169"/>
      <c r="P110" s="170">
        <f t="shared" si="13"/>
        <v>0</v>
      </c>
      <c r="Q110" s="187"/>
      <c r="R110" s="182"/>
      <c r="S110" s="61">
        <f t="shared" si="10"/>
        <v>0</v>
      </c>
      <c r="T110" s="18" t="str" cm="1">
        <f t="array" ref="T110">IF(S110:S110=0,"Ei toimenpiteitä","Kirjoita tähän mitä tehdään")</f>
        <v>Ei toimenpiteitä</v>
      </c>
      <c r="U110" s="19"/>
      <c r="V110" s="1"/>
      <c r="W110" s="1"/>
    </row>
    <row r="111" spans="1:23" x14ac:dyDescent="0.35">
      <c r="A111" s="19"/>
      <c r="B111" s="329" t="str">
        <f>IF(T111="Kirjoita tähän mitä tehdään","Hormielementit *Rakennusselostus puuttuu","Hormielementit")</f>
        <v>Hormielementit</v>
      </c>
      <c r="C111" s="330"/>
      <c r="D111" s="168"/>
      <c r="E111" s="169"/>
      <c r="F111" s="245"/>
      <c r="G111" s="169"/>
      <c r="H111" s="265">
        <f t="shared" si="11"/>
        <v>0</v>
      </c>
      <c r="I111" s="169"/>
      <c r="J111" s="169"/>
      <c r="K111" s="169"/>
      <c r="L111" s="265">
        <f t="shared" si="12"/>
        <v>0</v>
      </c>
      <c r="M111" s="141"/>
      <c r="N111" s="180"/>
      <c r="O111" s="169"/>
      <c r="P111" s="170">
        <f t="shared" si="13"/>
        <v>0</v>
      </c>
      <c r="Q111" s="187"/>
      <c r="R111" s="182"/>
      <c r="S111" s="61">
        <f t="shared" si="10"/>
        <v>0</v>
      </c>
      <c r="T111" s="18" t="str" cm="1">
        <f t="array" ref="T111">IF(S111:S111=0,"Ei toimenpiteitä","Kirjoita tähän mitä tehdään")</f>
        <v>Ei toimenpiteitä</v>
      </c>
      <c r="U111" s="19"/>
      <c r="V111" s="1"/>
      <c r="W111" s="1"/>
    </row>
    <row r="112" spans="1:23" x14ac:dyDescent="0.35">
      <c r="A112" s="19"/>
      <c r="B112" s="329" t="str">
        <f>IF(T112="Kirjoita tähän mitä tehdään","Kylmähuone elementit *Rakennusselostus puuttuu","Kylmähuone elementit")</f>
        <v>Kylmähuone elementit</v>
      </c>
      <c r="C112" s="330"/>
      <c r="D112" s="168"/>
      <c r="E112" s="169"/>
      <c r="F112" s="245"/>
      <c r="G112" s="169"/>
      <c r="H112" s="265">
        <f t="shared" si="11"/>
        <v>0</v>
      </c>
      <c r="I112" s="169"/>
      <c r="J112" s="169"/>
      <c r="K112" s="169"/>
      <c r="L112" s="265">
        <f t="shared" si="12"/>
        <v>0</v>
      </c>
      <c r="M112" s="141"/>
      <c r="N112" s="180"/>
      <c r="O112" s="169"/>
      <c r="P112" s="170">
        <f t="shared" si="13"/>
        <v>0</v>
      </c>
      <c r="Q112" s="187"/>
      <c r="R112" s="182"/>
      <c r="S112" s="61">
        <f t="shared" si="10"/>
        <v>0</v>
      </c>
      <c r="T112" s="18" t="str" cm="1">
        <f t="array" ref="T112">IF(S112:S112=0,"Ei toimenpiteitä","Kirjoita tähän mitä tehdään")</f>
        <v>Ei toimenpiteitä</v>
      </c>
      <c r="U112" s="19"/>
      <c r="V112" s="1"/>
      <c r="W112" s="1"/>
    </row>
    <row r="113" spans="1:23" x14ac:dyDescent="0.35">
      <c r="A113" s="19"/>
      <c r="B113" s="293" t="str">
        <f>IF(T113="Kirjoita tähän mitä tehdään","Muut tilaelementit: *Rakennusselostus puuttuu","Muut tilaelementit:")</f>
        <v>Muut tilaelementit:</v>
      </c>
      <c r="C113" s="175"/>
      <c r="D113" s="168"/>
      <c r="E113" s="169"/>
      <c r="F113" s="245"/>
      <c r="G113" s="169"/>
      <c r="H113" s="265">
        <f t="shared" si="11"/>
        <v>0</v>
      </c>
      <c r="I113" s="169"/>
      <c r="J113" s="169"/>
      <c r="K113" s="169"/>
      <c r="L113" s="265">
        <f t="shared" si="12"/>
        <v>0</v>
      </c>
      <c r="M113" s="141"/>
      <c r="N113" s="180"/>
      <c r="O113" s="169"/>
      <c r="P113" s="170">
        <f t="shared" si="13"/>
        <v>0</v>
      </c>
      <c r="Q113" s="187"/>
      <c r="R113" s="182"/>
      <c r="S113" s="61">
        <f t="shared" si="10"/>
        <v>0</v>
      </c>
      <c r="T113" s="18" t="str" cm="1">
        <f t="array" ref="T113">IF(S113:S113=0,"Ei toimenpiteitä","Kirjoita tähän mitä tehdään")</f>
        <v>Ei toimenpiteitä</v>
      </c>
      <c r="U113" s="19"/>
      <c r="V113" s="1"/>
      <c r="W113" s="1"/>
    </row>
    <row r="114" spans="1:23" x14ac:dyDescent="0.35">
      <c r="A114" s="19"/>
      <c r="B114" s="293" t="str">
        <f>IF(T114="Kirjoita tähän mitä tehdään","Muut tilaelementit: *Rakennusselostus puuttuu","Muut tilaelementit:")</f>
        <v>Muut tilaelementit:</v>
      </c>
      <c r="C114" s="175"/>
      <c r="D114" s="168"/>
      <c r="E114" s="169"/>
      <c r="F114" s="245"/>
      <c r="G114" s="169"/>
      <c r="H114" s="265">
        <f t="shared" si="11"/>
        <v>0</v>
      </c>
      <c r="I114" s="169"/>
      <c r="J114" s="169"/>
      <c r="K114" s="169"/>
      <c r="L114" s="265">
        <f t="shared" si="12"/>
        <v>0</v>
      </c>
      <c r="M114" s="141"/>
      <c r="N114" s="180"/>
      <c r="O114" s="169"/>
      <c r="P114" s="170">
        <f t="shared" si="13"/>
        <v>0</v>
      </c>
      <c r="Q114" s="187"/>
      <c r="R114" s="182"/>
      <c r="S114" s="61">
        <f t="shared" si="10"/>
        <v>0</v>
      </c>
      <c r="T114" s="18" t="str" cm="1">
        <f t="array" ref="T114">IF(S114:S114=0,"Ei toimenpiteitä","Kirjoita tähän mitä tehdään")</f>
        <v>Ei toimenpiteitä</v>
      </c>
      <c r="U114" s="19"/>
      <c r="V114" s="1"/>
      <c r="W114" s="1"/>
    </row>
    <row r="115" spans="1:23" x14ac:dyDescent="0.35">
      <c r="A115" s="19"/>
      <c r="B115" s="305" t="str">
        <f>IF(T115="Kirjoita tähän mitä tehdään","Muut tilaelementit: *Rakennusselostus puuttuu","Muut tilaelementit:")</f>
        <v>Muut tilaelementit:</v>
      </c>
      <c r="C115" s="176"/>
      <c r="D115" s="171"/>
      <c r="E115" s="172"/>
      <c r="F115" s="245"/>
      <c r="G115" s="172"/>
      <c r="H115" s="266">
        <f t="shared" si="11"/>
        <v>0</v>
      </c>
      <c r="I115" s="172"/>
      <c r="J115" s="172"/>
      <c r="K115" s="172"/>
      <c r="L115" s="266">
        <f t="shared" si="12"/>
        <v>0</v>
      </c>
      <c r="M115" s="141"/>
      <c r="N115" s="183"/>
      <c r="O115" s="172"/>
      <c r="P115" s="173">
        <f t="shared" si="13"/>
        <v>0</v>
      </c>
      <c r="Q115" s="188"/>
      <c r="R115" s="185"/>
      <c r="S115" s="61">
        <f t="shared" si="10"/>
        <v>0</v>
      </c>
      <c r="T115" s="18" t="str" cm="1">
        <f t="array" ref="T115">IF(S115:S115=0,"Ei toimenpiteitä","Kirjoita tähän mitä tehdään")</f>
        <v>Ei toimenpiteitä</v>
      </c>
      <c r="U115" s="19"/>
      <c r="V115" s="1"/>
      <c r="W115" s="1"/>
    </row>
    <row r="116" spans="1:23" s="56" customFormat="1" x14ac:dyDescent="0.35">
      <c r="A116" s="28" t="s">
        <v>115</v>
      </c>
      <c r="B116" s="29"/>
      <c r="C116" s="29"/>
      <c r="D116" s="137"/>
      <c r="E116" s="137"/>
      <c r="F116" s="57"/>
      <c r="G116" s="137"/>
      <c r="H116" s="137"/>
      <c r="I116" s="137"/>
      <c r="J116" s="137"/>
      <c r="K116" s="137"/>
      <c r="L116" s="142"/>
      <c r="M116" s="141"/>
      <c r="N116" s="144"/>
      <c r="O116" s="137"/>
      <c r="P116" s="137"/>
      <c r="Q116" s="137"/>
      <c r="R116" s="145"/>
      <c r="S116" s="61">
        <f t="shared" si="10"/>
        <v>0</v>
      </c>
      <c r="T116" s="79"/>
      <c r="U116" s="19"/>
      <c r="V116" s="41"/>
      <c r="W116" s="41"/>
    </row>
    <row r="117" spans="1:23" x14ac:dyDescent="0.35">
      <c r="A117" s="32" t="s">
        <v>144</v>
      </c>
      <c r="B117" s="32"/>
      <c r="C117" s="19"/>
      <c r="D117" s="139"/>
      <c r="E117" s="140"/>
      <c r="F117" s="19"/>
      <c r="G117" s="140"/>
      <c r="H117" s="272"/>
      <c r="I117" s="138"/>
      <c r="J117" s="140"/>
      <c r="K117" s="140"/>
      <c r="L117" s="148"/>
      <c r="M117" s="141"/>
      <c r="N117" s="147"/>
      <c r="O117" s="140"/>
      <c r="P117" s="272"/>
      <c r="Q117" s="272"/>
      <c r="R117" s="149"/>
      <c r="S117" s="61">
        <f t="shared" si="10"/>
        <v>0</v>
      </c>
      <c r="T117" s="247"/>
      <c r="U117" s="19"/>
      <c r="V117" s="1"/>
      <c r="W117" s="1"/>
    </row>
    <row r="118" spans="1:23" x14ac:dyDescent="0.35">
      <c r="A118" s="19"/>
      <c r="B118" s="332" t="str">
        <f>IF(T118="Kirjoita tähän mitä tehdään","Putkiurakka *Rakennusselostus puuttuu","Putkiurakka")</f>
        <v>Putkiurakka</v>
      </c>
      <c r="C118" s="333"/>
      <c r="D118" s="165"/>
      <c r="E118" s="166"/>
      <c r="F118" s="244"/>
      <c r="G118" s="166"/>
      <c r="H118" s="264">
        <f t="shared" si="11"/>
        <v>0</v>
      </c>
      <c r="I118" s="166"/>
      <c r="J118" s="166"/>
      <c r="K118" s="166"/>
      <c r="L118" s="264">
        <f t="shared" si="12"/>
        <v>0</v>
      </c>
      <c r="M118" s="141"/>
      <c r="N118" s="177"/>
      <c r="O118" s="166"/>
      <c r="P118" s="167">
        <f t="shared" si="13"/>
        <v>0</v>
      </c>
      <c r="Q118" s="186"/>
      <c r="R118" s="179"/>
      <c r="S118" s="61">
        <f t="shared" si="10"/>
        <v>0</v>
      </c>
      <c r="T118" s="18" t="str" cm="1">
        <f t="array" ref="T118">IF(S118:S118=0,"Ei toimenpiteitä","Kirjoita tähän mitä tehdään")</f>
        <v>Ei toimenpiteitä</v>
      </c>
      <c r="U118" s="19"/>
      <c r="V118" s="1"/>
      <c r="W118" s="1"/>
    </row>
    <row r="119" spans="1:23" x14ac:dyDescent="0.35">
      <c r="A119" s="19"/>
      <c r="B119" s="329" t="str">
        <f>IF(T119="Kirjoita tähän mitä tehdään","Viemäröinti *Rakennusselostus puuttuu","Viemäröinti")</f>
        <v>Viemäröinti</v>
      </c>
      <c r="C119" s="330"/>
      <c r="D119" s="168"/>
      <c r="E119" s="169"/>
      <c r="F119" s="245"/>
      <c r="G119" s="169"/>
      <c r="H119" s="265">
        <f t="shared" si="11"/>
        <v>0</v>
      </c>
      <c r="I119" s="169"/>
      <c r="J119" s="169"/>
      <c r="K119" s="169"/>
      <c r="L119" s="265">
        <f t="shared" si="12"/>
        <v>0</v>
      </c>
      <c r="M119" s="141"/>
      <c r="N119" s="180"/>
      <c r="O119" s="169"/>
      <c r="P119" s="170">
        <f t="shared" si="13"/>
        <v>0</v>
      </c>
      <c r="Q119" s="187"/>
      <c r="R119" s="182"/>
      <c r="S119" s="61">
        <f t="shared" si="10"/>
        <v>0</v>
      </c>
      <c r="T119" s="18" t="str" cm="1">
        <f t="array" ref="T119">IF(S119:S119=0,"Ei toimenpiteitä","Kirjoita tähän mitä tehdään")</f>
        <v>Ei toimenpiteitä</v>
      </c>
      <c r="U119" s="19"/>
      <c r="V119" s="1"/>
      <c r="W119" s="1"/>
    </row>
    <row r="120" spans="1:23" x14ac:dyDescent="0.35">
      <c r="A120" s="19"/>
      <c r="B120" s="329" t="str">
        <f>IF(T120="Kirjoita tähän mitä tehdään","Vesijohdot *Rakennusselostus puuttuu","Vesijohdot")</f>
        <v>Vesijohdot</v>
      </c>
      <c r="C120" s="330"/>
      <c r="D120" s="168"/>
      <c r="E120" s="169"/>
      <c r="F120" s="245"/>
      <c r="G120" s="169"/>
      <c r="H120" s="265">
        <f t="shared" si="11"/>
        <v>0</v>
      </c>
      <c r="I120" s="169"/>
      <c r="J120" s="169"/>
      <c r="K120" s="169"/>
      <c r="L120" s="265">
        <f t="shared" si="12"/>
        <v>0</v>
      </c>
      <c r="M120" s="141"/>
      <c r="N120" s="180"/>
      <c r="O120" s="169"/>
      <c r="P120" s="170">
        <f t="shared" si="13"/>
        <v>0</v>
      </c>
      <c r="Q120" s="187"/>
      <c r="R120" s="182"/>
      <c r="S120" s="61">
        <f t="shared" si="10"/>
        <v>0</v>
      </c>
      <c r="T120" s="18" t="str" cm="1">
        <f t="array" ref="T120">IF(S120:S120=0,"Ei toimenpiteitä","Kirjoita tähän mitä tehdään")</f>
        <v>Ei toimenpiteitä</v>
      </c>
      <c r="U120" s="19"/>
      <c r="V120" s="1"/>
      <c r="W120" s="1"/>
    </row>
    <row r="121" spans="1:23" x14ac:dyDescent="0.35">
      <c r="A121" s="19"/>
      <c r="B121" s="329" t="str">
        <f>IF(T121="Kirjoita tähän mitä tehdään","Vesikalusteet (hanat, suihkut) *Rakennusselostus puuttuu","Vesikalusteet (hanat, suihkut)")</f>
        <v>Vesikalusteet (hanat, suihkut)</v>
      </c>
      <c r="C121" s="330"/>
      <c r="D121" s="168"/>
      <c r="E121" s="169"/>
      <c r="F121" s="245"/>
      <c r="G121" s="169"/>
      <c r="H121" s="265">
        <f t="shared" si="11"/>
        <v>0</v>
      </c>
      <c r="I121" s="169"/>
      <c r="J121" s="169"/>
      <c r="K121" s="169"/>
      <c r="L121" s="265">
        <f t="shared" si="12"/>
        <v>0</v>
      </c>
      <c r="M121" s="141"/>
      <c r="N121" s="180"/>
      <c r="O121" s="169"/>
      <c r="P121" s="170">
        <f t="shared" si="13"/>
        <v>0</v>
      </c>
      <c r="Q121" s="187"/>
      <c r="R121" s="182"/>
      <c r="S121" s="61">
        <f t="shared" si="10"/>
        <v>0</v>
      </c>
      <c r="T121" s="18" t="str" cm="1">
        <f t="array" ref="T121">IF(S121:S121=0,"Ei toimenpiteitä","Kirjoita tähän mitä tehdään")</f>
        <v>Ei toimenpiteitä</v>
      </c>
      <c r="U121" s="19"/>
      <c r="V121" s="1"/>
      <c r="W121" s="1"/>
    </row>
    <row r="122" spans="1:23" x14ac:dyDescent="0.35">
      <c r="A122" s="19"/>
      <c r="B122" s="329" t="str">
        <f>IF(T122="Kirjoita tähän mitä tehdään","Ilmanvaihtourakka *Rakennusselostus puuttuu","Ilmanvaihtourakka")</f>
        <v>Ilmanvaihtourakka</v>
      </c>
      <c r="C122" s="330"/>
      <c r="D122" s="168"/>
      <c r="E122" s="169"/>
      <c r="F122" s="245"/>
      <c r="G122" s="169"/>
      <c r="H122" s="265">
        <f t="shared" si="11"/>
        <v>0</v>
      </c>
      <c r="I122" s="169"/>
      <c r="J122" s="169"/>
      <c r="K122" s="169"/>
      <c r="L122" s="265">
        <f t="shared" si="12"/>
        <v>0</v>
      </c>
      <c r="M122" s="141"/>
      <c r="N122" s="180"/>
      <c r="O122" s="169"/>
      <c r="P122" s="170">
        <f t="shared" si="13"/>
        <v>0</v>
      </c>
      <c r="Q122" s="187"/>
      <c r="R122" s="182"/>
      <c r="S122" s="61">
        <f t="shared" si="10"/>
        <v>0</v>
      </c>
      <c r="T122" s="18" t="str" cm="1">
        <f t="array" ref="T122">IF(S122:S122=0,"Ei toimenpiteitä","Kirjoita tähän mitä tehdään")</f>
        <v>Ei toimenpiteitä</v>
      </c>
      <c r="U122" s="19"/>
      <c r="V122" s="1"/>
      <c r="W122" s="1"/>
    </row>
    <row r="123" spans="1:23" x14ac:dyDescent="0.35">
      <c r="A123" s="19"/>
      <c r="B123" s="329" t="str">
        <f>IF(T123="Kirjoita tähän mitä tehdään","Ilmanvaihtokone *Rakennusselostus puuttuu","Ilmanvaihtokone")</f>
        <v>Ilmanvaihtokone</v>
      </c>
      <c r="C123" s="330"/>
      <c r="D123" s="168"/>
      <c r="E123" s="169"/>
      <c r="F123" s="245"/>
      <c r="G123" s="169"/>
      <c r="H123" s="265">
        <f t="shared" si="11"/>
        <v>0</v>
      </c>
      <c r="I123" s="169"/>
      <c r="J123" s="169"/>
      <c r="K123" s="169"/>
      <c r="L123" s="265">
        <f t="shared" si="12"/>
        <v>0</v>
      </c>
      <c r="M123" s="141"/>
      <c r="N123" s="180"/>
      <c r="O123" s="169"/>
      <c r="P123" s="170">
        <f t="shared" si="13"/>
        <v>0</v>
      </c>
      <c r="Q123" s="187"/>
      <c r="R123" s="182"/>
      <c r="S123" s="61">
        <f t="shared" si="10"/>
        <v>0</v>
      </c>
      <c r="T123" s="18" t="str" cm="1">
        <f t="array" ref="T123">IF(S123:S123=0,"Ei toimenpiteitä","Kirjoita tähän mitä tehdään")</f>
        <v>Ei toimenpiteitä</v>
      </c>
      <c r="U123" s="19"/>
      <c r="V123" s="1"/>
      <c r="W123" s="1"/>
    </row>
    <row r="124" spans="1:23" x14ac:dyDescent="0.35">
      <c r="A124" s="19"/>
      <c r="B124" s="329" t="str">
        <f>IF(T124="Kirjoita tähän mitä tehdään","Venttiilit *Rakennusselostus puuttuu","Venttiilit")</f>
        <v>Venttiilit</v>
      </c>
      <c r="C124" s="330"/>
      <c r="D124" s="168"/>
      <c r="E124" s="169"/>
      <c r="F124" s="245"/>
      <c r="G124" s="169"/>
      <c r="H124" s="265">
        <f t="shared" si="11"/>
        <v>0</v>
      </c>
      <c r="I124" s="169"/>
      <c r="J124" s="169"/>
      <c r="K124" s="169"/>
      <c r="L124" s="265">
        <f t="shared" si="12"/>
        <v>0</v>
      </c>
      <c r="M124" s="141"/>
      <c r="N124" s="180"/>
      <c r="O124" s="169"/>
      <c r="P124" s="170">
        <f t="shared" si="13"/>
        <v>0</v>
      </c>
      <c r="Q124" s="187"/>
      <c r="R124" s="182"/>
      <c r="S124" s="61">
        <f t="shared" si="10"/>
        <v>0</v>
      </c>
      <c r="T124" s="18" t="str" cm="1">
        <f t="array" ref="T124">IF(S124:S124=0,"Ei toimenpiteitä","Kirjoita tähän mitä tehdään")</f>
        <v>Ei toimenpiteitä</v>
      </c>
      <c r="U124" s="19"/>
      <c r="V124" s="1"/>
      <c r="W124" s="1"/>
    </row>
    <row r="125" spans="1:23" x14ac:dyDescent="0.35">
      <c r="A125" s="19"/>
      <c r="B125" s="331" t="str">
        <f>IF(T125="Kirjoita tähän mitä tehdään","Sähköurakka *Rakennusselostus puuttuu","Sähköurakka")</f>
        <v>Sähköurakka</v>
      </c>
      <c r="C125" s="330"/>
      <c r="D125" s="168"/>
      <c r="E125" s="169"/>
      <c r="F125" s="245"/>
      <c r="G125" s="169"/>
      <c r="H125" s="265">
        <f t="shared" si="11"/>
        <v>0</v>
      </c>
      <c r="I125" s="169"/>
      <c r="J125" s="169"/>
      <c r="K125" s="169"/>
      <c r="L125" s="265">
        <f t="shared" si="12"/>
        <v>0</v>
      </c>
      <c r="M125" s="141"/>
      <c r="N125" s="180"/>
      <c r="O125" s="169"/>
      <c r="P125" s="170">
        <f t="shared" si="13"/>
        <v>0</v>
      </c>
      <c r="Q125" s="187"/>
      <c r="R125" s="182"/>
      <c r="S125" s="61">
        <f t="shared" si="10"/>
        <v>0</v>
      </c>
      <c r="T125" s="18" t="str" cm="1">
        <f t="array" ref="T125">IF(S125:S125=0,"Ei toimenpiteitä","Kirjoita tähän mitä tehdään")</f>
        <v>Ei toimenpiteitä</v>
      </c>
      <c r="U125" s="19"/>
      <c r="V125" s="1"/>
      <c r="W125" s="1"/>
    </row>
    <row r="126" spans="1:23" x14ac:dyDescent="0.35">
      <c r="A126" s="19"/>
      <c r="B126" s="329" t="str">
        <f>IF(T126="Kirjoita tähän mitä tehdään","Kaapelit *Rakennusselostus puuttuu","Kaapelit")</f>
        <v>Kaapelit</v>
      </c>
      <c r="C126" s="330"/>
      <c r="D126" s="168"/>
      <c r="E126" s="169"/>
      <c r="F126" s="245"/>
      <c r="G126" s="169"/>
      <c r="H126" s="265">
        <f t="shared" si="11"/>
        <v>0</v>
      </c>
      <c r="I126" s="169"/>
      <c r="J126" s="169"/>
      <c r="K126" s="169"/>
      <c r="L126" s="265">
        <f t="shared" si="12"/>
        <v>0</v>
      </c>
      <c r="M126" s="141"/>
      <c r="N126" s="180"/>
      <c r="O126" s="169"/>
      <c r="P126" s="170">
        <f t="shared" si="13"/>
        <v>0</v>
      </c>
      <c r="Q126" s="187"/>
      <c r="R126" s="182"/>
      <c r="S126" s="61">
        <f t="shared" si="10"/>
        <v>0</v>
      </c>
      <c r="T126" s="18" t="str" cm="1">
        <f t="array" ref="T126">IF(S126:S126=0,"Ei toimenpiteitä","Kirjoita tähän mitä tehdään")</f>
        <v>Ei toimenpiteitä</v>
      </c>
      <c r="U126" s="19"/>
      <c r="V126" s="1"/>
      <c r="W126" s="1"/>
    </row>
    <row r="127" spans="1:23" x14ac:dyDescent="0.35">
      <c r="A127" s="19"/>
      <c r="B127" s="329" t="str">
        <f>IF(T127="Kirjoita tähän mitä tehdään","Valaisimet *Rakennusselostus puuttuu","Valaisimet")</f>
        <v>Valaisimet</v>
      </c>
      <c r="C127" s="330"/>
      <c r="D127" s="168"/>
      <c r="E127" s="169"/>
      <c r="F127" s="245"/>
      <c r="G127" s="169"/>
      <c r="H127" s="265">
        <f t="shared" si="11"/>
        <v>0</v>
      </c>
      <c r="I127" s="169"/>
      <c r="J127" s="169"/>
      <c r="K127" s="169"/>
      <c r="L127" s="265">
        <f t="shared" si="12"/>
        <v>0</v>
      </c>
      <c r="M127" s="141"/>
      <c r="N127" s="180"/>
      <c r="O127" s="169"/>
      <c r="P127" s="170">
        <f t="shared" si="13"/>
        <v>0</v>
      </c>
      <c r="Q127" s="187"/>
      <c r="R127" s="182"/>
      <c r="S127" s="61">
        <f t="shared" si="10"/>
        <v>0</v>
      </c>
      <c r="T127" s="18" t="str" cm="1">
        <f t="array" ref="T127">IF(S127:S127=0,"Ei toimenpiteitä","Kirjoita tähän mitä tehdään")</f>
        <v>Ei toimenpiteitä</v>
      </c>
      <c r="U127" s="19"/>
      <c r="V127" s="1"/>
      <c r="W127" s="1"/>
    </row>
    <row r="128" spans="1:23" x14ac:dyDescent="0.35">
      <c r="A128" s="19"/>
      <c r="B128" s="329" t="str">
        <f>IF(T128="Kirjoita tähän mitä tehdään","Tietoliikennelaitteet, kaapit ja kaapelointi *Rakennusselostus puuttuu","Tietoliikennelaitteet, kaapit ja kaapelointi")</f>
        <v>Tietoliikennelaitteet, kaapit ja kaapelointi</v>
      </c>
      <c r="C128" s="330"/>
      <c r="D128" s="168"/>
      <c r="E128" s="169"/>
      <c r="F128" s="245"/>
      <c r="G128" s="169"/>
      <c r="H128" s="265">
        <f t="shared" si="11"/>
        <v>0</v>
      </c>
      <c r="I128" s="169"/>
      <c r="J128" s="169"/>
      <c r="K128" s="169"/>
      <c r="L128" s="265">
        <f t="shared" si="12"/>
        <v>0</v>
      </c>
      <c r="M128" s="141"/>
      <c r="N128" s="180"/>
      <c r="O128" s="169"/>
      <c r="P128" s="170">
        <f t="shared" si="13"/>
        <v>0</v>
      </c>
      <c r="Q128" s="187"/>
      <c r="R128" s="182"/>
      <c r="S128" s="61">
        <f t="shared" si="10"/>
        <v>0</v>
      </c>
      <c r="T128" s="18" t="str" cm="1">
        <f t="array" ref="T128">IF(S128:S128=0,"Ei toimenpiteitä","Kirjoita tähän mitä tehdään")</f>
        <v>Ei toimenpiteitä</v>
      </c>
      <c r="U128" s="19"/>
      <c r="V128" s="1"/>
      <c r="W128" s="1"/>
    </row>
    <row r="129" spans="1:23" x14ac:dyDescent="0.35">
      <c r="A129" s="19"/>
      <c r="B129" s="329" t="str">
        <f>IF(T129="Kirjoita tähän mitä tehdään","Automaatiojärjestelmät *Rakennusselostus puuttuu","Automaatiojärjestelmät")</f>
        <v>Automaatiojärjestelmät</v>
      </c>
      <c r="C129" s="330"/>
      <c r="D129" s="168"/>
      <c r="E129" s="169"/>
      <c r="F129" s="245"/>
      <c r="G129" s="169"/>
      <c r="H129" s="265">
        <f t="shared" si="11"/>
        <v>0</v>
      </c>
      <c r="I129" s="169"/>
      <c r="J129" s="169"/>
      <c r="K129" s="169"/>
      <c r="L129" s="265">
        <f t="shared" si="12"/>
        <v>0</v>
      </c>
      <c r="M129" s="141"/>
      <c r="N129" s="180"/>
      <c r="O129" s="169"/>
      <c r="P129" s="170">
        <f t="shared" si="13"/>
        <v>0</v>
      </c>
      <c r="Q129" s="187"/>
      <c r="R129" s="182"/>
      <c r="S129" s="61">
        <f t="shared" si="10"/>
        <v>0</v>
      </c>
      <c r="T129" s="18" t="str" cm="1">
        <f t="array" ref="T129">IF(S129:S129=0,"Ei toimenpiteitä","Kirjoita tähän mitä tehdään")</f>
        <v>Ei toimenpiteitä</v>
      </c>
      <c r="U129" s="19"/>
      <c r="V129" s="1"/>
      <c r="W129" s="1"/>
    </row>
    <row r="130" spans="1:23" x14ac:dyDescent="0.35">
      <c r="A130" s="19"/>
      <c r="B130" s="331" t="str">
        <f>IF(T130="Kirjoita tähän mitä tehdään","Ilmalämpöpumppu *Rakennusselostus puuttuu","Ilmalämpöpumppu")</f>
        <v>Ilmalämpöpumppu</v>
      </c>
      <c r="C130" s="330"/>
      <c r="D130" s="168"/>
      <c r="E130" s="169"/>
      <c r="F130" s="245"/>
      <c r="G130" s="169"/>
      <c r="H130" s="265">
        <f t="shared" si="11"/>
        <v>0</v>
      </c>
      <c r="I130" s="169"/>
      <c r="J130" s="169"/>
      <c r="K130" s="169"/>
      <c r="L130" s="265">
        <f t="shared" si="12"/>
        <v>0</v>
      </c>
      <c r="M130" s="141"/>
      <c r="N130" s="180"/>
      <c r="O130" s="169"/>
      <c r="P130" s="170">
        <f t="shared" si="13"/>
        <v>0</v>
      </c>
      <c r="Q130" s="187"/>
      <c r="R130" s="182"/>
      <c r="S130" s="61">
        <f t="shared" si="10"/>
        <v>0</v>
      </c>
      <c r="T130" s="18" t="str" cm="1">
        <f t="array" ref="T130">IF(S130:S130=0,"Ei toimenpiteitä","Kirjoita tähän mitä tehdään")</f>
        <v>Ei toimenpiteitä</v>
      </c>
      <c r="U130" s="19"/>
      <c r="V130" s="1"/>
      <c r="W130" s="1"/>
    </row>
    <row r="131" spans="1:23" x14ac:dyDescent="0.35">
      <c r="A131" s="19"/>
      <c r="B131" s="331" t="str">
        <f>IF(T131="Kirjoita tähän mitä tehdään","Vesi-ilmalämpöpumppu *Rakennusselostus puuttuu","Vesi-ilmalämpöpumppu")</f>
        <v>Vesi-ilmalämpöpumppu</v>
      </c>
      <c r="C131" s="330"/>
      <c r="D131" s="168"/>
      <c r="E131" s="169"/>
      <c r="F131" s="245"/>
      <c r="G131" s="169"/>
      <c r="H131" s="265">
        <f t="shared" si="11"/>
        <v>0</v>
      </c>
      <c r="I131" s="169"/>
      <c r="J131" s="169"/>
      <c r="K131" s="169"/>
      <c r="L131" s="265">
        <f t="shared" si="12"/>
        <v>0</v>
      </c>
      <c r="M131" s="141"/>
      <c r="N131" s="180"/>
      <c r="O131" s="169"/>
      <c r="P131" s="170">
        <f t="shared" si="13"/>
        <v>0</v>
      </c>
      <c r="Q131" s="187"/>
      <c r="R131" s="182"/>
      <c r="S131" s="61">
        <f t="shared" si="10"/>
        <v>0</v>
      </c>
      <c r="T131" s="18" t="str" cm="1">
        <f t="array" ref="T131">IF(S131:S131=0,"Ei toimenpiteitä","Kirjoita tähän mitä tehdään")</f>
        <v>Ei toimenpiteitä</v>
      </c>
      <c r="U131" s="19"/>
      <c r="V131" s="1"/>
      <c r="W131" s="1"/>
    </row>
    <row r="132" spans="1:23" x14ac:dyDescent="0.35">
      <c r="A132" s="19"/>
      <c r="B132" s="331" t="str">
        <f>IF(T132="Kirjoita tähän mitä tehdään","Energiakaivo ja siirtoputket *Rakennusselostus puuttuu","Energiakaivo ja siirtoputket")</f>
        <v>Energiakaivo ja siirtoputket</v>
      </c>
      <c r="C132" s="330"/>
      <c r="D132" s="168"/>
      <c r="E132" s="169"/>
      <c r="F132" s="245"/>
      <c r="G132" s="169"/>
      <c r="H132" s="265">
        <f t="shared" si="11"/>
        <v>0</v>
      </c>
      <c r="I132" s="169"/>
      <c r="J132" s="169"/>
      <c r="K132" s="169"/>
      <c r="L132" s="265">
        <f t="shared" si="12"/>
        <v>0</v>
      </c>
      <c r="M132" s="141"/>
      <c r="N132" s="180"/>
      <c r="O132" s="169"/>
      <c r="P132" s="170">
        <f t="shared" si="13"/>
        <v>0</v>
      </c>
      <c r="Q132" s="187"/>
      <c r="R132" s="182"/>
      <c r="S132" s="61">
        <f t="shared" si="10"/>
        <v>0</v>
      </c>
      <c r="T132" s="18" t="str" cm="1">
        <f t="array" ref="T132">IF(S132:S132=0,"Ei toimenpiteitä","Kirjoita tähän mitä tehdään")</f>
        <v>Ei toimenpiteitä</v>
      </c>
      <c r="U132" s="19"/>
      <c r="V132" s="1"/>
      <c r="W132" s="1"/>
    </row>
    <row r="133" spans="1:23" x14ac:dyDescent="0.35">
      <c r="A133" s="19"/>
      <c r="B133" s="331" t="str">
        <f>IF(T133="Kirjoita tähän mitä tehdään","Aurinkopaneelit *Rakennusselostus puuttuu","Aurinkopaneelit")</f>
        <v>Aurinkopaneelit</v>
      </c>
      <c r="C133" s="330"/>
      <c r="D133" s="168"/>
      <c r="E133" s="169"/>
      <c r="F133" s="245"/>
      <c r="G133" s="169"/>
      <c r="H133" s="265">
        <f t="shared" si="11"/>
        <v>0</v>
      </c>
      <c r="I133" s="169"/>
      <c r="J133" s="169"/>
      <c r="K133" s="169"/>
      <c r="L133" s="265">
        <f t="shared" si="12"/>
        <v>0</v>
      </c>
      <c r="M133" s="141"/>
      <c r="N133" s="180"/>
      <c r="O133" s="169"/>
      <c r="P133" s="170">
        <f t="shared" si="13"/>
        <v>0</v>
      </c>
      <c r="Q133" s="187"/>
      <c r="R133" s="182"/>
      <c r="S133" s="61">
        <f t="shared" si="10"/>
        <v>0</v>
      </c>
      <c r="T133" s="18" t="str" cm="1">
        <f t="array" ref="T133">IF(S133:S133=0,"Ei toimenpiteitä","Kirjoita tähän mitä tehdään")</f>
        <v>Ei toimenpiteitä</v>
      </c>
      <c r="U133" s="19"/>
      <c r="V133" s="1"/>
      <c r="W133" s="1"/>
    </row>
    <row r="134" spans="1:23" x14ac:dyDescent="0.35">
      <c r="A134" s="19"/>
      <c r="B134" s="305" t="str">
        <f>IF(T134="Kirjoita tähän mitä tehdään","Muu järjestelmä: *Rakennusselostus puuttuu","Muu järjestelmä:")</f>
        <v>Muu järjestelmä:</v>
      </c>
      <c r="C134" s="176"/>
      <c r="D134" s="171"/>
      <c r="E134" s="172"/>
      <c r="F134" s="245"/>
      <c r="G134" s="172"/>
      <c r="H134" s="266">
        <f t="shared" si="11"/>
        <v>0</v>
      </c>
      <c r="I134" s="172"/>
      <c r="J134" s="172"/>
      <c r="K134" s="172"/>
      <c r="L134" s="266">
        <f t="shared" si="12"/>
        <v>0</v>
      </c>
      <c r="M134" s="141"/>
      <c r="N134" s="183"/>
      <c r="O134" s="172"/>
      <c r="P134" s="173">
        <f t="shared" si="13"/>
        <v>0</v>
      </c>
      <c r="Q134" s="188"/>
      <c r="R134" s="185"/>
      <c r="S134" s="61">
        <f t="shared" si="10"/>
        <v>0</v>
      </c>
      <c r="T134" s="18" t="str" cm="1">
        <f t="array" ref="T134">IF(S134:S134=0,"Ei toimenpiteitä","Kirjoita tähän mitä tehdään")</f>
        <v>Ei toimenpiteitä</v>
      </c>
      <c r="U134" s="19"/>
      <c r="V134" s="1"/>
      <c r="W134" s="1"/>
    </row>
    <row r="135" spans="1:23" s="56" customFormat="1" x14ac:dyDescent="0.35">
      <c r="A135" s="28" t="s">
        <v>131</v>
      </c>
      <c r="B135" s="29"/>
      <c r="C135" s="29"/>
      <c r="D135" s="137"/>
      <c r="E135" s="137"/>
      <c r="F135" s="57"/>
      <c r="G135" s="137"/>
      <c r="H135" s="137"/>
      <c r="I135" s="137"/>
      <c r="J135" s="137"/>
      <c r="K135" s="137"/>
      <c r="L135" s="142"/>
      <c r="M135" s="141"/>
      <c r="N135" s="144"/>
      <c r="O135" s="137"/>
      <c r="P135" s="137"/>
      <c r="Q135" s="137"/>
      <c r="R135" s="145"/>
      <c r="S135" s="61">
        <f t="shared" si="10"/>
        <v>0</v>
      </c>
      <c r="T135" s="79"/>
      <c r="U135" s="19"/>
      <c r="V135" s="41"/>
      <c r="W135" s="41"/>
    </row>
    <row r="136" spans="1:23" x14ac:dyDescent="0.35">
      <c r="A136" s="19"/>
      <c r="B136" s="332" t="str">
        <f>IF(T136="Kirjoita tähän mitä tehdään","Nostot *Rakennusselostus puuttuu","Nostot")</f>
        <v>Nostot</v>
      </c>
      <c r="C136" s="333"/>
      <c r="D136" s="165"/>
      <c r="E136" s="166"/>
      <c r="F136" s="244"/>
      <c r="G136" s="166"/>
      <c r="H136" s="264">
        <f t="shared" si="11"/>
        <v>0</v>
      </c>
      <c r="I136" s="166"/>
      <c r="J136" s="166"/>
      <c r="K136" s="166"/>
      <c r="L136" s="264">
        <f t="shared" si="12"/>
        <v>0</v>
      </c>
      <c r="M136" s="141"/>
      <c r="N136" s="177"/>
      <c r="O136" s="166"/>
      <c r="P136" s="167">
        <f t="shared" si="13"/>
        <v>0</v>
      </c>
      <c r="Q136" s="186"/>
      <c r="R136" s="179"/>
      <c r="S136" s="61">
        <f t="shared" si="10"/>
        <v>0</v>
      </c>
      <c r="T136" s="18" t="str" cm="1">
        <f t="array" ref="T136">IF(S136:S136=0,"Ei toimenpiteitä","Kirjoita tähän mitä tehdään")</f>
        <v>Ei toimenpiteitä</v>
      </c>
      <c r="U136" s="19"/>
      <c r="V136" s="1"/>
      <c r="W136" s="1"/>
    </row>
    <row r="137" spans="1:23" x14ac:dyDescent="0.35">
      <c r="A137" s="19"/>
      <c r="B137" s="329" t="str">
        <f>IF(T137="Kirjoita tähän mitä tehdään","Siirrot *Rakennusselostus puuttuu","Siirrot")</f>
        <v>Siirrot</v>
      </c>
      <c r="C137" s="330"/>
      <c r="D137" s="168"/>
      <c r="E137" s="169"/>
      <c r="F137" s="245"/>
      <c r="G137" s="169"/>
      <c r="H137" s="265">
        <f t="shared" si="11"/>
        <v>0</v>
      </c>
      <c r="I137" s="169"/>
      <c r="J137" s="169"/>
      <c r="K137" s="169"/>
      <c r="L137" s="265">
        <f t="shared" si="12"/>
        <v>0</v>
      </c>
      <c r="M137" s="141"/>
      <c r="N137" s="180"/>
      <c r="O137" s="169"/>
      <c r="P137" s="170">
        <f t="shared" si="13"/>
        <v>0</v>
      </c>
      <c r="Q137" s="187"/>
      <c r="R137" s="182"/>
      <c r="S137" s="61">
        <f t="shared" si="10"/>
        <v>0</v>
      </c>
      <c r="T137" s="18" t="str" cm="1">
        <f t="array" ref="T137">IF(S137:S137=0,"Ei toimenpiteitä","Kirjoita tähän mitä tehdään")</f>
        <v>Ei toimenpiteitä</v>
      </c>
      <c r="U137" s="19"/>
      <c r="V137" s="1"/>
      <c r="W137" s="1"/>
    </row>
    <row r="138" spans="1:23" x14ac:dyDescent="0.35">
      <c r="A138" s="19"/>
      <c r="B138" s="329" t="str">
        <f>IF(T138="Kirjoita tähän mitä tehdään","Sääsuojaukset *Rakennusselostus puuttuu","Sääsuojaukset")</f>
        <v>Sääsuojaukset</v>
      </c>
      <c r="C138" s="330"/>
      <c r="D138" s="168"/>
      <c r="E138" s="169"/>
      <c r="F138" s="245"/>
      <c r="G138" s="169"/>
      <c r="H138" s="265">
        <f t="shared" si="11"/>
        <v>0</v>
      </c>
      <c r="I138" s="169"/>
      <c r="J138" s="169"/>
      <c r="K138" s="169"/>
      <c r="L138" s="265">
        <f t="shared" si="12"/>
        <v>0</v>
      </c>
      <c r="M138" s="141"/>
      <c r="N138" s="180"/>
      <c r="O138" s="169"/>
      <c r="P138" s="170">
        <f t="shared" si="13"/>
        <v>0</v>
      </c>
      <c r="Q138" s="187"/>
      <c r="R138" s="182"/>
      <c r="S138" s="61">
        <f t="shared" si="10"/>
        <v>0</v>
      </c>
      <c r="T138" s="18" t="str" cm="1">
        <f t="array" ref="T138">IF(S138:S138=0,"Ei toimenpiteitä","Kirjoita tähän mitä tehdään")</f>
        <v>Ei toimenpiteitä</v>
      </c>
      <c r="U138" s="19"/>
      <c r="V138" s="1"/>
      <c r="W138" s="1"/>
    </row>
    <row r="139" spans="1:23" x14ac:dyDescent="0.35">
      <c r="A139" s="19"/>
      <c r="B139" s="329" t="str">
        <f>IF(T139="Kirjoita tähän mitä tehdään","Telineet *Rakennusselostus puuttuu","Telineet")</f>
        <v>Telineet</v>
      </c>
      <c r="C139" s="330"/>
      <c r="D139" s="168"/>
      <c r="E139" s="169"/>
      <c r="F139" s="245"/>
      <c r="G139" s="169"/>
      <c r="H139" s="265">
        <f t="shared" si="11"/>
        <v>0</v>
      </c>
      <c r="I139" s="169"/>
      <c r="J139" s="169"/>
      <c r="K139" s="169"/>
      <c r="L139" s="265">
        <f t="shared" si="12"/>
        <v>0</v>
      </c>
      <c r="M139" s="141"/>
      <c r="N139" s="180"/>
      <c r="O139" s="169"/>
      <c r="P139" s="170">
        <f t="shared" si="13"/>
        <v>0</v>
      </c>
      <c r="Q139" s="187"/>
      <c r="R139" s="182"/>
      <c r="S139" s="61">
        <f t="shared" si="10"/>
        <v>0</v>
      </c>
      <c r="T139" s="18" t="str" cm="1">
        <f t="array" ref="T139">IF(S139:S139=0,"Ei toimenpiteitä","Kirjoita tähän mitä tehdään")</f>
        <v>Ei toimenpiteitä</v>
      </c>
      <c r="U139" s="19"/>
      <c r="V139" s="1"/>
      <c r="W139" s="1"/>
    </row>
    <row r="140" spans="1:23" x14ac:dyDescent="0.35">
      <c r="A140" s="19"/>
      <c r="B140" s="329" t="str">
        <f>IF(T140="Kirjoita tähän mitä tehdään","Työnaikainen sähkö ja vesi *Rakennusselostus puuttuu","Työnaikainen sähkö ja vesi")</f>
        <v>Työnaikainen sähkö ja vesi</v>
      </c>
      <c r="C140" s="330"/>
      <c r="D140" s="168"/>
      <c r="E140" s="169"/>
      <c r="F140" s="245"/>
      <c r="G140" s="169"/>
      <c r="H140" s="265">
        <f t="shared" si="11"/>
        <v>0</v>
      </c>
      <c r="I140" s="169"/>
      <c r="J140" s="169"/>
      <c r="K140" s="169"/>
      <c r="L140" s="265">
        <f t="shared" si="12"/>
        <v>0</v>
      </c>
      <c r="M140" s="141"/>
      <c r="N140" s="180"/>
      <c r="O140" s="169"/>
      <c r="P140" s="170">
        <f t="shared" si="13"/>
        <v>0</v>
      </c>
      <c r="Q140" s="187"/>
      <c r="R140" s="182"/>
      <c r="S140" s="61">
        <f t="shared" si="10"/>
        <v>0</v>
      </c>
      <c r="T140" s="18" t="str" cm="1">
        <f t="array" ref="T140">IF(S140:S140=0,"Ei toimenpiteitä","Kirjoita tähän mitä tehdään")</f>
        <v>Ei toimenpiteitä</v>
      </c>
      <c r="U140" s="19"/>
      <c r="V140" s="1"/>
      <c r="W140" s="1"/>
    </row>
    <row r="141" spans="1:23" x14ac:dyDescent="0.35">
      <c r="A141" s="19"/>
      <c r="B141" s="329" t="str">
        <f>IF(T141="Kirjoita tähän mitä tehdään","Työmaan vastaava työnjohtaja *Rakennusselostus puuttuu","Työmaan vastaava työnjohtaja")</f>
        <v>Työmaan vastaava työnjohtaja</v>
      </c>
      <c r="C141" s="330"/>
      <c r="D141" s="168"/>
      <c r="E141" s="169"/>
      <c r="F141" s="245"/>
      <c r="G141" s="169"/>
      <c r="H141" s="265">
        <f t="shared" si="11"/>
        <v>0</v>
      </c>
      <c r="I141" s="169"/>
      <c r="J141" s="169"/>
      <c r="K141" s="169"/>
      <c r="L141" s="265">
        <f t="shared" si="12"/>
        <v>0</v>
      </c>
      <c r="M141" s="141"/>
      <c r="N141" s="180"/>
      <c r="O141" s="169"/>
      <c r="P141" s="170">
        <f t="shared" si="13"/>
        <v>0</v>
      </c>
      <c r="Q141" s="187"/>
      <c r="R141" s="182"/>
      <c r="S141" s="61">
        <f t="shared" si="10"/>
        <v>0</v>
      </c>
      <c r="T141" s="18" t="str" cm="1">
        <f t="array" ref="T141">IF(S141:S141=0,"Ei toimenpiteitä","Kirjoita tähän mitä tehdään")</f>
        <v>Ei toimenpiteitä</v>
      </c>
      <c r="U141" s="19"/>
      <c r="V141" s="1"/>
      <c r="W141" s="1"/>
    </row>
    <row r="142" spans="1:23" x14ac:dyDescent="0.35">
      <c r="A142" s="19"/>
      <c r="B142" s="329" t="str">
        <f>IF(T142="Kirjoita tähän mitä tehdään","Työmaatoimisto ja sosiaalitilat *Rakennusselostus puuttuu","Työmaatoimisto ja sosiaalitilat")</f>
        <v>Työmaatoimisto ja sosiaalitilat</v>
      </c>
      <c r="C142" s="330"/>
      <c r="D142" s="168"/>
      <c r="E142" s="169"/>
      <c r="F142" s="245"/>
      <c r="G142" s="169"/>
      <c r="H142" s="265">
        <f t="shared" si="11"/>
        <v>0</v>
      </c>
      <c r="I142" s="169"/>
      <c r="J142" s="169"/>
      <c r="K142" s="169"/>
      <c r="L142" s="265">
        <f t="shared" si="12"/>
        <v>0</v>
      </c>
      <c r="M142" s="141"/>
      <c r="N142" s="180"/>
      <c r="O142" s="169"/>
      <c r="P142" s="170">
        <f t="shared" si="13"/>
        <v>0</v>
      </c>
      <c r="Q142" s="187"/>
      <c r="R142" s="182"/>
      <c r="S142" s="61">
        <f t="shared" si="10"/>
        <v>0</v>
      </c>
      <c r="T142" s="18" t="str" cm="1">
        <f t="array" ref="T142">IF(S142:S142=0,"Ei toimenpiteitä","Kirjoita tähän mitä tehdään")</f>
        <v>Ei toimenpiteitä</v>
      </c>
      <c r="U142" s="19"/>
      <c r="V142" s="1"/>
      <c r="W142" s="1"/>
    </row>
    <row r="143" spans="1:23" x14ac:dyDescent="0.35">
      <c r="A143" s="19"/>
      <c r="B143" s="329" t="str">
        <f>IF(T143="Kirjoita tähän mitä tehdään","Talkootarjoilu kustannukset *Rakennusselostus puuttuu","Talkootarjoilu kustannukset")</f>
        <v>Talkootarjoilu kustannukset</v>
      </c>
      <c r="C143" s="330"/>
      <c r="D143" s="168"/>
      <c r="E143" s="169"/>
      <c r="F143" s="245"/>
      <c r="G143" s="169"/>
      <c r="H143" s="265">
        <f t="shared" si="11"/>
        <v>0</v>
      </c>
      <c r="I143" s="169"/>
      <c r="J143" s="169"/>
      <c r="K143" s="169"/>
      <c r="L143" s="265">
        <f t="shared" si="12"/>
        <v>0</v>
      </c>
      <c r="M143" s="141"/>
      <c r="N143" s="180"/>
      <c r="O143" s="169"/>
      <c r="P143" s="170">
        <f t="shared" si="13"/>
        <v>0</v>
      </c>
      <c r="Q143" s="187"/>
      <c r="R143" s="182"/>
      <c r="S143" s="61">
        <f t="shared" ref="S143:S147" si="14">P143+L143</f>
        <v>0</v>
      </c>
      <c r="T143" s="18" t="str" cm="1">
        <f t="array" ref="T143">IF(S143:S143=0,"Ei toimenpiteitä","Kirjoita tähän mitä tehdään")</f>
        <v>Ei toimenpiteitä</v>
      </c>
      <c r="U143" s="19"/>
      <c r="V143" s="1"/>
      <c r="W143" s="1"/>
    </row>
    <row r="144" spans="1:23" x14ac:dyDescent="0.35">
      <c r="A144" s="19"/>
      <c r="B144" s="325" t="str">
        <f>IF(T144="Kirjoita tähän mitä tehdään","Muu kustannus: *Rakennusselostus puuttuu","Muu kustannus:")</f>
        <v>Muu kustannus:</v>
      </c>
      <c r="C144" s="175"/>
      <c r="D144" s="168"/>
      <c r="E144" s="169"/>
      <c r="F144" s="245"/>
      <c r="G144" s="169"/>
      <c r="H144" s="265">
        <f t="shared" ref="H144:H147" si="15">G144*E144</f>
        <v>0</v>
      </c>
      <c r="I144" s="169"/>
      <c r="J144" s="169"/>
      <c r="K144" s="169"/>
      <c r="L144" s="265">
        <f t="shared" si="12"/>
        <v>0</v>
      </c>
      <c r="M144" s="141"/>
      <c r="N144" s="180"/>
      <c r="O144" s="169"/>
      <c r="P144" s="170">
        <f t="shared" si="13"/>
        <v>0</v>
      </c>
      <c r="Q144" s="187"/>
      <c r="R144" s="182"/>
      <c r="S144" s="61">
        <f t="shared" si="14"/>
        <v>0</v>
      </c>
      <c r="T144" s="18" t="str" cm="1">
        <f t="array" ref="T144">IF(S144:S144=0,"Ei toimenpiteitä","Kirjoita tähän mitä tehdään")</f>
        <v>Ei toimenpiteitä</v>
      </c>
      <c r="U144" s="19"/>
      <c r="V144" s="1"/>
      <c r="W144" s="1"/>
    </row>
    <row r="145" spans="1:23" x14ac:dyDescent="0.35">
      <c r="A145" s="19"/>
      <c r="B145" s="325" t="str">
        <f>IF(T145="Kirjoita tähän mitä tehdään","Muu kustannus: *Rakennusselostus puuttuu","Muu kustannus:")</f>
        <v>Muu kustannus:</v>
      </c>
      <c r="C145" s="175"/>
      <c r="D145" s="168"/>
      <c r="E145" s="169"/>
      <c r="F145" s="245"/>
      <c r="G145" s="169"/>
      <c r="H145" s="265">
        <f t="shared" si="15"/>
        <v>0</v>
      </c>
      <c r="I145" s="169"/>
      <c r="J145" s="169"/>
      <c r="K145" s="169"/>
      <c r="L145" s="265">
        <f t="shared" si="12"/>
        <v>0</v>
      </c>
      <c r="M145" s="141"/>
      <c r="N145" s="180"/>
      <c r="O145" s="169"/>
      <c r="P145" s="170">
        <f t="shared" si="13"/>
        <v>0</v>
      </c>
      <c r="Q145" s="187"/>
      <c r="R145" s="182"/>
      <c r="S145" s="61">
        <f t="shared" si="14"/>
        <v>0</v>
      </c>
      <c r="T145" s="18" t="str" cm="1">
        <f t="array" ref="T145">IF(S145:S145=0,"Ei toimenpiteitä","Kirjoita tähän mitä tehdään")</f>
        <v>Ei toimenpiteitä</v>
      </c>
      <c r="U145" s="19"/>
      <c r="V145" s="1"/>
      <c r="W145" s="1"/>
    </row>
    <row r="146" spans="1:23" x14ac:dyDescent="0.35">
      <c r="A146" s="19"/>
      <c r="B146" s="325" t="str">
        <f>IF(T146="Kirjoita tähän mitä tehdään","Muu kustannus: *Rakennusselostus puuttuu","Muu kustannus:")</f>
        <v>Muu kustannus:</v>
      </c>
      <c r="C146" s="175"/>
      <c r="D146" s="168"/>
      <c r="E146" s="169"/>
      <c r="F146" s="245"/>
      <c r="G146" s="169"/>
      <c r="H146" s="265">
        <f t="shared" si="15"/>
        <v>0</v>
      </c>
      <c r="I146" s="169"/>
      <c r="J146" s="169"/>
      <c r="K146" s="169"/>
      <c r="L146" s="265">
        <f t="shared" si="12"/>
        <v>0</v>
      </c>
      <c r="M146" s="141"/>
      <c r="N146" s="180"/>
      <c r="O146" s="169"/>
      <c r="P146" s="170">
        <f t="shared" si="13"/>
        <v>0</v>
      </c>
      <c r="Q146" s="187"/>
      <c r="R146" s="182"/>
      <c r="S146" s="61">
        <f t="shared" si="14"/>
        <v>0</v>
      </c>
      <c r="T146" s="18" t="str" cm="1">
        <f t="array" ref="T146">IF(S146:S146=0,"Ei toimenpiteitä","Kirjoita tähän mitä tehdään")</f>
        <v>Ei toimenpiteitä</v>
      </c>
      <c r="U146" s="19"/>
      <c r="V146" s="1"/>
      <c r="W146" s="1"/>
    </row>
    <row r="147" spans="1:23" ht="15" thickBot="1" x14ac:dyDescent="0.4">
      <c r="A147" s="17"/>
      <c r="B147" s="326" t="str">
        <f>IF(T147="Kirjoita tähän mitä tehdään","Muu kustannus: *Rakennusselostus puuttuu","Muu kustannus:")</f>
        <v>Muu kustannus:</v>
      </c>
      <c r="C147" s="176"/>
      <c r="D147" s="171"/>
      <c r="E147" s="172"/>
      <c r="F147" s="246"/>
      <c r="G147" s="172"/>
      <c r="H147" s="267">
        <f t="shared" si="15"/>
        <v>0</v>
      </c>
      <c r="I147" s="172"/>
      <c r="J147" s="172"/>
      <c r="K147" s="172"/>
      <c r="L147" s="267">
        <f t="shared" si="12"/>
        <v>0</v>
      </c>
      <c r="M147" s="141"/>
      <c r="N147" s="190"/>
      <c r="O147" s="191"/>
      <c r="P147" s="189">
        <f t="shared" si="13"/>
        <v>0</v>
      </c>
      <c r="Q147" s="192"/>
      <c r="R147" s="193"/>
      <c r="S147" s="61">
        <f t="shared" si="14"/>
        <v>0</v>
      </c>
      <c r="T147" s="18" t="str" cm="1">
        <f t="array" ref="T147">IF(S147:S147=0,"Ei toimenpiteitä","Kirjoita tähän mitä tehdään")</f>
        <v>Ei toimenpiteitä</v>
      </c>
      <c r="U147" s="19"/>
      <c r="V147" s="1"/>
      <c r="W147" s="1"/>
    </row>
    <row r="148" spans="1:23" ht="15" thickTop="1" x14ac:dyDescent="0.35">
      <c r="B148" s="115"/>
      <c r="C148" s="115"/>
      <c r="D148" s="1"/>
      <c r="E148" s="1"/>
      <c r="F148" s="1"/>
      <c r="G148" s="1"/>
      <c r="H148" s="119">
        <f>SUM(H8:H147)</f>
        <v>0</v>
      </c>
      <c r="J148" s="1"/>
      <c r="K148" s="231" t="s">
        <v>198</v>
      </c>
      <c r="L148" s="241">
        <f>SUM(L8:L147)</f>
        <v>0</v>
      </c>
      <c r="N148" s="118">
        <f t="shared" ref="N148:P148" si="16">SUM(N8:N147)</f>
        <v>0</v>
      </c>
      <c r="O148" s="118">
        <f t="shared" si="16"/>
        <v>0</v>
      </c>
      <c r="P148" s="113">
        <f t="shared" si="16"/>
        <v>0</v>
      </c>
      <c r="Q148" s="63"/>
      <c r="R148" s="45"/>
      <c r="T148" s="1"/>
      <c r="U148" s="1"/>
      <c r="V148" s="1"/>
      <c r="W148" s="1"/>
    </row>
    <row r="149" spans="1:23" x14ac:dyDescent="0.35">
      <c r="B149" s="115"/>
      <c r="C149" s="115"/>
      <c r="D149" s="1"/>
      <c r="E149" s="1"/>
      <c r="F149" s="1"/>
      <c r="G149" s="1"/>
      <c r="H149" s="1"/>
      <c r="I149" s="1"/>
      <c r="J149" s="1"/>
      <c r="K149" s="1"/>
      <c r="L149" s="1"/>
      <c r="N149" s="116" t="s">
        <v>199</v>
      </c>
      <c r="O149" s="116" t="s">
        <v>199</v>
      </c>
      <c r="P149" s="117" t="s">
        <v>200</v>
      </c>
      <c r="R149" s="45"/>
      <c r="T149" s="1"/>
      <c r="U149" s="1"/>
      <c r="V149" s="1"/>
      <c r="W149" s="1"/>
    </row>
    <row r="150" spans="1:23" x14ac:dyDescent="0.35">
      <c r="B150" s="154"/>
      <c r="C150" s="154"/>
      <c r="D150" s="1"/>
      <c r="E150" s="1"/>
      <c r="F150" s="1"/>
      <c r="G150" s="1"/>
      <c r="P150" s="62"/>
      <c r="Q150" s="62"/>
      <c r="R150" s="26"/>
      <c r="S150" s="62"/>
      <c r="T150" s="1"/>
      <c r="U150" s="1"/>
      <c r="V150" s="1"/>
      <c r="W150" s="1"/>
    </row>
    <row r="151" spans="1:23" ht="20.149999999999999" customHeight="1" x14ac:dyDescent="0.35">
      <c r="B151" s="154"/>
      <c r="C151" s="154"/>
      <c r="F151" s="1"/>
      <c r="G151" s="1"/>
      <c r="H151" s="1"/>
      <c r="I151" s="213" t="s">
        <v>20</v>
      </c>
      <c r="N151" s="1"/>
      <c r="O151" s="1"/>
      <c r="T151" s="1"/>
      <c r="U151" s="1"/>
      <c r="V151" s="1"/>
      <c r="W151" s="1"/>
    </row>
    <row r="152" spans="1:23" x14ac:dyDescent="0.35">
      <c r="B152" s="154"/>
      <c r="C152" s="154"/>
      <c r="G152" s="109"/>
      <c r="H152" s="214"/>
      <c r="I152" s="242"/>
      <c r="J152" s="243" t="s">
        <v>60</v>
      </c>
      <c r="K152" s="217">
        <v>0.65</v>
      </c>
      <c r="L152" s="72">
        <f>L155*K152</f>
        <v>0</v>
      </c>
      <c r="R152" s="65"/>
      <c r="T152" s="1"/>
      <c r="U152" s="1"/>
      <c r="V152" s="1"/>
      <c r="W152" s="1"/>
    </row>
    <row r="153" spans="1:23" x14ac:dyDescent="0.35">
      <c r="B153" s="154"/>
      <c r="C153" s="154"/>
      <c r="G153" s="109"/>
      <c r="H153" s="215"/>
      <c r="I153" s="242"/>
      <c r="J153" s="243" t="s">
        <v>61</v>
      </c>
      <c r="K153" s="217">
        <v>0</v>
      </c>
      <c r="L153" s="72">
        <f>L155*K153</f>
        <v>0</v>
      </c>
      <c r="R153" s="66"/>
      <c r="T153" s="1"/>
      <c r="U153" s="1"/>
      <c r="V153" s="1"/>
      <c r="W153" s="1"/>
    </row>
    <row r="154" spans="1:23" x14ac:dyDescent="0.35">
      <c r="B154" s="76"/>
      <c r="C154" s="76"/>
      <c r="G154" s="109"/>
      <c r="H154" s="215"/>
      <c r="I154" s="242"/>
      <c r="J154" s="243" t="s">
        <v>16</v>
      </c>
      <c r="K154" s="217">
        <v>0.35</v>
      </c>
      <c r="L154" s="67">
        <f>L155*K154</f>
        <v>0</v>
      </c>
      <c r="N154" s="67">
        <f>L154</f>
        <v>0</v>
      </c>
      <c r="O154" s="44" t="s">
        <v>212</v>
      </c>
      <c r="R154" s="66"/>
      <c r="T154" s="1"/>
      <c r="U154" s="1"/>
      <c r="V154" s="1"/>
      <c r="W154" s="1"/>
    </row>
    <row r="155" spans="1:23" x14ac:dyDescent="0.35">
      <c r="B155" s="61" t="s">
        <v>203</v>
      </c>
      <c r="C155" s="61"/>
      <c r="G155" s="109"/>
      <c r="J155" s="231" t="s">
        <v>17</v>
      </c>
      <c r="K155" s="221">
        <f>SUM(K152:K154)</f>
        <v>1</v>
      </c>
      <c r="L155" s="236">
        <f>L148+P148</f>
        <v>0</v>
      </c>
      <c r="N155" s="72">
        <f>P148</f>
        <v>0</v>
      </c>
      <c r="O155" s="44" t="s">
        <v>213</v>
      </c>
      <c r="R155" s="66"/>
      <c r="T155" s="1"/>
      <c r="U155" s="1"/>
      <c r="V155" s="1"/>
      <c r="W155" s="1"/>
    </row>
    <row r="156" spans="1:23" x14ac:dyDescent="0.35">
      <c r="B156" s="61" t="s">
        <v>204</v>
      </c>
      <c r="C156" s="61"/>
      <c r="D156" s="1"/>
      <c r="E156" s="1"/>
      <c r="F156" s="1"/>
      <c r="G156" s="1"/>
      <c r="K156" s="1"/>
      <c r="L156" s="1"/>
      <c r="N156" s="229">
        <f>N154-N155</f>
        <v>0</v>
      </c>
      <c r="O156" s="109" t="s">
        <v>214</v>
      </c>
      <c r="T156" s="1"/>
      <c r="U156" s="1"/>
      <c r="V156" s="1"/>
      <c r="W156" s="1"/>
    </row>
    <row r="157" spans="1:23" x14ac:dyDescent="0.35">
      <c r="B157" s="61"/>
      <c r="C157" s="61"/>
      <c r="G157" s="1"/>
      <c r="I157" s="219"/>
      <c r="J157" s="219"/>
      <c r="K157" s="220"/>
      <c r="L157" s="220"/>
      <c r="T157" s="1"/>
      <c r="U157" s="1"/>
      <c r="V157" s="1"/>
      <c r="W157" s="1"/>
    </row>
    <row r="158" spans="1:23" x14ac:dyDescent="0.35">
      <c r="B158" s="61"/>
      <c r="C158" s="61"/>
      <c r="H158" s="218" t="s">
        <v>18</v>
      </c>
      <c r="I158" s="1"/>
      <c r="J158" s="1"/>
      <c r="K158" s="1"/>
      <c r="L158" s="1"/>
      <c r="N158" s="1"/>
      <c r="T158" s="1"/>
      <c r="U158" s="1"/>
      <c r="V158" s="1"/>
      <c r="W158" s="1"/>
    </row>
    <row r="159" spans="1:23" ht="17" x14ac:dyDescent="0.35">
      <c r="B159" s="69" t="s">
        <v>27</v>
      </c>
      <c r="C159" s="69"/>
      <c r="H159" s="235" t="s">
        <v>53</v>
      </c>
      <c r="I159" s="232"/>
      <c r="J159" s="233"/>
      <c r="K159" s="234"/>
      <c r="L159" s="268">
        <f>L152</f>
        <v>0</v>
      </c>
      <c r="N159" s="1"/>
      <c r="T159" s="1"/>
      <c r="U159" s="1"/>
      <c r="V159" s="1"/>
      <c r="W159" s="1"/>
    </row>
    <row r="160" spans="1:23" ht="14.5" customHeight="1" x14ac:dyDescent="0.35">
      <c r="B160" s="69" t="s">
        <v>28</v>
      </c>
      <c r="C160" s="69"/>
      <c r="H160" s="235" t="s">
        <v>54</v>
      </c>
      <c r="I160" s="232"/>
      <c r="J160" s="233"/>
      <c r="K160" s="234"/>
      <c r="L160" s="268">
        <f>L153</f>
        <v>0</v>
      </c>
      <c r="N160" s="1"/>
      <c r="T160" s="1"/>
      <c r="U160" s="1"/>
      <c r="V160" s="1"/>
      <c r="W160" s="1"/>
    </row>
    <row r="161" spans="2:23" x14ac:dyDescent="0.35">
      <c r="B161" s="76" t="s">
        <v>201</v>
      </c>
      <c r="C161" s="76"/>
      <c r="H161" s="235" t="s">
        <v>167</v>
      </c>
      <c r="I161" s="232"/>
      <c r="J161" s="233"/>
      <c r="K161" s="234"/>
      <c r="L161" s="268">
        <f>SUM(L159:L160)</f>
        <v>0</v>
      </c>
      <c r="N161" s="1"/>
      <c r="Q161" s="1"/>
      <c r="T161" s="1"/>
      <c r="U161" s="1"/>
      <c r="V161" s="1"/>
      <c r="W161" s="1"/>
    </row>
    <row r="162" spans="2:23" x14ac:dyDescent="0.35">
      <c r="B162" s="71" t="s">
        <v>26</v>
      </c>
      <c r="C162" s="71"/>
      <c r="H162" s="235" t="s">
        <v>55</v>
      </c>
      <c r="I162" s="232"/>
      <c r="J162" s="233"/>
      <c r="K162" s="234"/>
      <c r="L162" s="268">
        <f>N156</f>
        <v>0</v>
      </c>
      <c r="N162" s="1"/>
      <c r="O162" s="1"/>
      <c r="P162" s="73"/>
      <c r="Q162" s="73"/>
      <c r="R162" s="65"/>
      <c r="T162" s="1"/>
      <c r="U162" s="1"/>
      <c r="V162" s="1"/>
      <c r="W162" s="1"/>
    </row>
    <row r="163" spans="2:23" x14ac:dyDescent="0.35">
      <c r="B163" s="69" t="s">
        <v>19</v>
      </c>
      <c r="C163" s="69"/>
      <c r="H163" s="235" t="s">
        <v>59</v>
      </c>
      <c r="I163" s="232"/>
      <c r="J163" s="233"/>
      <c r="K163" s="234"/>
      <c r="L163" s="268">
        <f>N155</f>
        <v>0</v>
      </c>
      <c r="N163" s="1"/>
      <c r="O163" s="1"/>
      <c r="P163" s="74"/>
      <c r="Q163" s="74"/>
      <c r="R163" s="65"/>
      <c r="T163" s="1"/>
      <c r="U163" s="1"/>
      <c r="V163" s="1"/>
      <c r="W163" s="1"/>
    </row>
    <row r="164" spans="2:23" x14ac:dyDescent="0.35">
      <c r="B164" s="69" t="s">
        <v>22</v>
      </c>
      <c r="C164" s="69"/>
      <c r="H164" s="235" t="s">
        <v>57</v>
      </c>
      <c r="I164" s="232"/>
      <c r="J164" s="233"/>
      <c r="K164" s="234"/>
      <c r="L164" s="269">
        <f>L162+L163</f>
        <v>0</v>
      </c>
      <c r="N164" s="1"/>
      <c r="O164" s="1"/>
      <c r="R164" s="65"/>
      <c r="T164" s="1"/>
      <c r="U164" s="1"/>
      <c r="V164" s="1"/>
      <c r="W164" s="1"/>
    </row>
    <row r="165" spans="2:23" x14ac:dyDescent="0.35">
      <c r="B165" s="71" t="s">
        <v>25</v>
      </c>
      <c r="C165" s="71"/>
      <c r="H165" s="235" t="s">
        <v>56</v>
      </c>
      <c r="I165" s="232"/>
      <c r="J165" s="233"/>
      <c r="K165" s="234"/>
      <c r="L165" s="268">
        <f>L159+L160+L162+L163</f>
        <v>0</v>
      </c>
      <c r="N165" s="1"/>
      <c r="P165" s="74"/>
      <c r="Q165" s="74"/>
      <c r="R165" s="65"/>
      <c r="T165" s="1"/>
      <c r="U165" s="1"/>
      <c r="V165" s="1"/>
      <c r="W165" s="1"/>
    </row>
    <row r="166" spans="2:23" x14ac:dyDescent="0.35">
      <c r="B166" s="69" t="s">
        <v>23</v>
      </c>
      <c r="C166" s="69"/>
      <c r="H166" s="235" t="s">
        <v>168</v>
      </c>
      <c r="I166" s="232"/>
      <c r="J166" s="233"/>
      <c r="K166" s="234"/>
      <c r="L166" s="270"/>
      <c r="N166" s="1"/>
      <c r="O166" s="1"/>
      <c r="P166" s="74"/>
      <c r="Q166" s="74"/>
      <c r="R166" s="75"/>
      <c r="T166" s="1"/>
      <c r="U166" s="1"/>
      <c r="V166" s="1"/>
      <c r="W166" s="1"/>
    </row>
    <row r="167" spans="2:23" ht="19" customHeight="1" x14ac:dyDescent="0.35">
      <c r="B167" s="69" t="s">
        <v>24</v>
      </c>
      <c r="C167" s="69"/>
      <c r="H167" s="235" t="s">
        <v>58</v>
      </c>
      <c r="I167" s="232"/>
      <c r="J167" s="233"/>
      <c r="K167" s="234"/>
      <c r="L167" s="236">
        <f>L165-L166</f>
        <v>0</v>
      </c>
      <c r="N167" s="1"/>
      <c r="O167" s="1"/>
      <c r="P167" s="74"/>
      <c r="Q167" s="74"/>
      <c r="R167" s="75"/>
      <c r="T167" s="1"/>
      <c r="U167" s="1"/>
      <c r="V167" s="1"/>
      <c r="W167" s="1"/>
    </row>
    <row r="168" spans="2:23" x14ac:dyDescent="0.35">
      <c r="B168" s="76" t="s">
        <v>65</v>
      </c>
      <c r="C168" s="76"/>
      <c r="H168" s="1"/>
      <c r="I168" s="1"/>
      <c r="J168" s="1"/>
      <c r="K168" s="1"/>
      <c r="L168" s="1"/>
      <c r="N168" s="1"/>
      <c r="O168" s="1"/>
      <c r="P168" s="74"/>
      <c r="Q168" s="74"/>
      <c r="R168" s="75"/>
      <c r="T168" s="1"/>
      <c r="U168" s="1"/>
      <c r="V168" s="1"/>
      <c r="W168" s="1"/>
    </row>
    <row r="169" spans="2:23" x14ac:dyDescent="0.35">
      <c r="B169" s="155"/>
      <c r="C169" s="155"/>
      <c r="G169" s="1"/>
      <c r="H169" s="1"/>
      <c r="I169" s="1"/>
      <c r="L169" s="1"/>
      <c r="N169" s="1"/>
      <c r="O169" s="1"/>
      <c r="P169" s="74"/>
      <c r="Q169" s="74"/>
      <c r="R169" s="74"/>
      <c r="T169" s="1"/>
      <c r="U169" s="1"/>
      <c r="V169" s="1"/>
      <c r="W169" s="1"/>
    </row>
    <row r="170" spans="2:23" x14ac:dyDescent="0.35">
      <c r="B170" s="155"/>
      <c r="C170" s="155"/>
      <c r="L170" s="1"/>
      <c r="N170" s="1"/>
      <c r="O170" s="1"/>
      <c r="P170" s="74"/>
      <c r="Q170" s="74"/>
      <c r="R170" s="75"/>
      <c r="T170" s="1"/>
      <c r="U170" s="1"/>
      <c r="V170" s="1"/>
      <c r="W170" s="1"/>
    </row>
    <row r="171" spans="2:23" x14ac:dyDescent="0.35">
      <c r="B171" s="61"/>
      <c r="C171" s="61"/>
      <c r="G171" s="1"/>
      <c r="H171" s="1"/>
      <c r="I171" s="1"/>
      <c r="K171" s="1"/>
      <c r="L171" s="1"/>
      <c r="N171" s="1"/>
      <c r="O171" s="1"/>
      <c r="P171" s="74"/>
      <c r="Q171" s="74"/>
      <c r="R171" s="75"/>
      <c r="T171" s="1"/>
      <c r="U171" s="1"/>
      <c r="V171" s="1"/>
      <c r="W171" s="1"/>
    </row>
    <row r="172" spans="2:23" x14ac:dyDescent="0.35">
      <c r="B172" s="61"/>
      <c r="C172" s="61"/>
      <c r="G172" s="1"/>
      <c r="H172" s="1"/>
      <c r="I172" s="1"/>
      <c r="K172" s="1"/>
      <c r="L172" s="1"/>
      <c r="N172" s="1"/>
      <c r="O172" s="1"/>
      <c r="P172" s="74"/>
      <c r="Q172" s="74"/>
      <c r="R172" s="75"/>
      <c r="T172" s="1"/>
      <c r="U172" s="1"/>
      <c r="V172" s="1"/>
      <c r="W172" s="1"/>
    </row>
    <row r="173" spans="2:23" x14ac:dyDescent="0.35">
      <c r="B173" s="61"/>
      <c r="C173" s="61"/>
      <c r="G173" s="1"/>
      <c r="H173" s="1"/>
      <c r="I173" s="1"/>
      <c r="K173" s="1"/>
      <c r="L173" s="1"/>
      <c r="N173" s="1"/>
      <c r="O173" s="1"/>
      <c r="P173" s="74"/>
      <c r="Q173" s="74"/>
      <c r="R173" s="75"/>
      <c r="T173" s="1"/>
      <c r="U173" s="1"/>
      <c r="V173" s="1"/>
      <c r="W173" s="1"/>
    </row>
    <row r="174" spans="2:23" x14ac:dyDescent="0.35">
      <c r="B174" s="61"/>
      <c r="C174" s="61"/>
      <c r="G174" s="1"/>
      <c r="H174" s="1"/>
      <c r="I174" s="1"/>
      <c r="K174" s="1"/>
      <c r="L174" s="1"/>
      <c r="N174" s="1"/>
      <c r="O174" s="1"/>
      <c r="P174" s="74"/>
      <c r="Q174" s="74"/>
      <c r="R174" s="75"/>
      <c r="T174" s="1"/>
      <c r="U174" s="1"/>
      <c r="V174" s="1"/>
      <c r="W174" s="1"/>
    </row>
    <row r="175" spans="2:23" x14ac:dyDescent="0.35">
      <c r="B175" s="61"/>
      <c r="C175" s="61"/>
      <c r="G175" s="1"/>
      <c r="H175" s="1"/>
      <c r="I175" s="1"/>
      <c r="K175" s="1"/>
      <c r="L175" s="1"/>
      <c r="N175" s="1"/>
      <c r="O175" s="1"/>
      <c r="P175" s="74"/>
      <c r="Q175" s="74"/>
      <c r="R175" s="75"/>
      <c r="T175" s="1"/>
      <c r="U175" s="1"/>
      <c r="V175" s="1"/>
      <c r="W175" s="1"/>
    </row>
    <row r="176" spans="2:23" x14ac:dyDescent="0.35">
      <c r="B176" s="61"/>
      <c r="C176" s="61"/>
      <c r="G176" s="1"/>
      <c r="H176" s="1"/>
      <c r="I176" s="1"/>
      <c r="K176" s="1"/>
      <c r="L176" s="1"/>
      <c r="N176" s="1"/>
      <c r="O176" s="1"/>
      <c r="P176" s="74"/>
      <c r="Q176" s="74"/>
      <c r="R176" s="75"/>
      <c r="T176" s="1"/>
      <c r="U176" s="1"/>
      <c r="V176" s="1"/>
      <c r="W176" s="1"/>
    </row>
    <row r="177" spans="1:23" x14ac:dyDescent="0.35">
      <c r="B177" s="61"/>
      <c r="C177" s="61"/>
      <c r="G177" s="1"/>
      <c r="H177" s="1"/>
      <c r="I177" s="1"/>
      <c r="K177" s="1"/>
      <c r="L177" s="1"/>
      <c r="N177" s="1"/>
      <c r="O177" s="1"/>
      <c r="P177" s="74"/>
      <c r="Q177" s="74"/>
      <c r="R177" s="75"/>
      <c r="T177" s="1"/>
      <c r="U177" s="1"/>
      <c r="V177" s="1"/>
      <c r="W177" s="1"/>
    </row>
    <row r="178" spans="1:23" x14ac:dyDescent="0.35">
      <c r="B178" s="61"/>
      <c r="C178" s="61"/>
      <c r="G178" s="1"/>
      <c r="H178" s="1"/>
      <c r="I178" s="1"/>
      <c r="K178" s="1"/>
      <c r="L178" s="1"/>
      <c r="N178" s="1"/>
      <c r="O178" s="1"/>
      <c r="P178" s="74"/>
      <c r="Q178" s="74"/>
      <c r="R178" s="75"/>
      <c r="T178" s="1"/>
      <c r="U178" s="1"/>
      <c r="V178" s="1"/>
      <c r="W178" s="1"/>
    </row>
    <row r="179" spans="1:23" x14ac:dyDescent="0.35">
      <c r="B179" s="61"/>
      <c r="C179" s="61"/>
      <c r="G179" s="1"/>
      <c r="H179" s="1"/>
      <c r="I179" s="1"/>
      <c r="K179" s="1"/>
      <c r="L179" s="1"/>
      <c r="N179" s="1"/>
      <c r="O179" s="1"/>
      <c r="P179" s="74"/>
      <c r="Q179" s="74"/>
      <c r="R179" s="75"/>
      <c r="T179" s="1"/>
      <c r="U179" s="1"/>
      <c r="V179" s="1"/>
      <c r="W179" s="1"/>
    </row>
    <row r="180" spans="1:23" x14ac:dyDescent="0.35">
      <c r="B180" s="61"/>
      <c r="C180" s="61"/>
      <c r="G180" s="1"/>
      <c r="H180" s="1"/>
      <c r="I180" s="1"/>
      <c r="K180" s="1"/>
      <c r="L180" s="1"/>
      <c r="N180" s="1"/>
      <c r="O180" s="1"/>
      <c r="P180" s="74"/>
      <c r="Q180" s="74"/>
      <c r="R180" s="75"/>
      <c r="T180" s="1"/>
      <c r="U180" s="1"/>
      <c r="V180" s="1"/>
      <c r="W180" s="1"/>
    </row>
    <row r="181" spans="1:23" x14ac:dyDescent="0.35">
      <c r="B181" s="61"/>
      <c r="C181" s="61"/>
      <c r="G181" s="1"/>
      <c r="H181" s="1"/>
      <c r="I181" s="1"/>
      <c r="K181" s="1"/>
      <c r="L181" s="1"/>
      <c r="N181" s="1"/>
      <c r="O181" s="1"/>
      <c r="P181" s="74"/>
      <c r="Q181" s="74"/>
      <c r="R181" s="75"/>
      <c r="T181" s="1"/>
      <c r="U181" s="1"/>
      <c r="V181" s="1"/>
      <c r="W181" s="1"/>
    </row>
    <row r="182" spans="1:23" x14ac:dyDescent="0.35">
      <c r="B182" s="61"/>
      <c r="C182" s="61"/>
      <c r="G182" s="1"/>
      <c r="H182" s="1"/>
      <c r="I182" s="1"/>
      <c r="K182" s="1"/>
      <c r="L182" s="1"/>
      <c r="N182" s="1"/>
      <c r="O182" s="1"/>
      <c r="P182" s="74"/>
      <c r="Q182" s="74"/>
      <c r="R182" s="75"/>
      <c r="T182" s="1"/>
      <c r="U182" s="1"/>
      <c r="V182" s="1"/>
      <c r="W182" s="1"/>
    </row>
    <row r="183" spans="1:23" x14ac:dyDescent="0.35">
      <c r="A183" s="1"/>
      <c r="B183" s="61"/>
      <c r="C183" s="61"/>
      <c r="G183" s="1"/>
      <c r="H183" s="1"/>
      <c r="I183" s="1"/>
      <c r="K183" s="1"/>
      <c r="L183" s="1"/>
      <c r="N183" s="1"/>
      <c r="O183" s="1"/>
      <c r="P183" s="74"/>
      <c r="Q183" s="74"/>
      <c r="R183" s="75"/>
      <c r="T183" s="1"/>
      <c r="U183" s="1"/>
      <c r="V183" s="1"/>
      <c r="W183" s="1"/>
    </row>
    <row r="184" spans="1:23" x14ac:dyDescent="0.35">
      <c r="A184" s="1"/>
      <c r="B184" s="61"/>
      <c r="C184" s="61"/>
      <c r="G184" s="1"/>
      <c r="H184" s="1"/>
      <c r="I184" s="1"/>
      <c r="K184" s="1"/>
      <c r="L184" s="1"/>
      <c r="N184" s="1"/>
      <c r="O184" s="1"/>
      <c r="P184" s="74"/>
      <c r="Q184" s="74"/>
      <c r="R184" s="75"/>
      <c r="T184" s="1"/>
      <c r="U184" s="1"/>
      <c r="V184" s="1"/>
      <c r="W184" s="1"/>
    </row>
    <row r="185" spans="1:23" x14ac:dyDescent="0.35">
      <c r="A185" s="1"/>
      <c r="B185" s="61"/>
      <c r="C185" s="61"/>
      <c r="G185" s="1"/>
      <c r="H185" s="1"/>
      <c r="I185" s="1"/>
      <c r="K185" s="1"/>
      <c r="L185" s="1"/>
      <c r="N185" s="1"/>
      <c r="O185" s="1"/>
      <c r="P185" s="74"/>
      <c r="Q185" s="74"/>
      <c r="R185" s="75"/>
      <c r="T185" s="1"/>
      <c r="U185" s="1"/>
      <c r="V185" s="1"/>
      <c r="W185" s="1"/>
    </row>
    <row r="186" spans="1:23" x14ac:dyDescent="0.35">
      <c r="A186" s="1"/>
      <c r="B186" s="61"/>
      <c r="C186" s="61"/>
      <c r="G186" s="1"/>
      <c r="H186" s="1"/>
      <c r="I186" s="1"/>
      <c r="K186" s="1"/>
      <c r="L186" s="1"/>
      <c r="N186" s="1"/>
      <c r="O186" s="1"/>
      <c r="P186" s="74"/>
      <c r="Q186" s="74"/>
      <c r="R186" s="75"/>
      <c r="T186" s="1"/>
      <c r="U186" s="1"/>
      <c r="V186" s="1"/>
      <c r="W186" s="1"/>
    </row>
    <row r="187" spans="1:23" x14ac:dyDescent="0.35">
      <c r="A187" s="1"/>
      <c r="B187" s="61"/>
      <c r="C187" s="61"/>
      <c r="G187" s="1"/>
      <c r="H187" s="1"/>
      <c r="I187" s="1"/>
      <c r="K187" s="1"/>
      <c r="L187" s="1"/>
      <c r="N187" s="1"/>
      <c r="O187" s="1"/>
      <c r="P187" s="74"/>
      <c r="Q187" s="74"/>
      <c r="R187" s="75"/>
      <c r="T187" s="1"/>
      <c r="U187" s="1"/>
      <c r="V187" s="1"/>
      <c r="W187" s="1"/>
    </row>
    <row r="188" spans="1:23" x14ac:dyDescent="0.35">
      <c r="A188" s="1"/>
      <c r="B188" s="61"/>
      <c r="C188" s="61"/>
      <c r="G188" s="1"/>
      <c r="H188" s="1"/>
      <c r="I188" s="1"/>
      <c r="K188" s="1"/>
      <c r="L188" s="1"/>
      <c r="N188" s="1"/>
      <c r="O188" s="1"/>
      <c r="P188" s="74"/>
      <c r="Q188" s="74"/>
      <c r="R188" s="75"/>
      <c r="T188" s="1"/>
      <c r="U188" s="1"/>
      <c r="V188" s="1"/>
      <c r="W188" s="1"/>
    </row>
    <row r="189" spans="1:23" x14ac:dyDescent="0.35">
      <c r="A189" s="1"/>
      <c r="B189" s="61"/>
      <c r="C189" s="61"/>
      <c r="G189" s="1"/>
      <c r="H189" s="1"/>
      <c r="I189" s="1"/>
      <c r="K189" s="1"/>
      <c r="L189" s="1"/>
      <c r="N189" s="1"/>
      <c r="O189" s="1"/>
      <c r="P189" s="74"/>
      <c r="Q189" s="74"/>
      <c r="R189" s="75"/>
      <c r="T189" s="1"/>
      <c r="U189" s="1"/>
      <c r="V189" s="1"/>
      <c r="W189" s="1"/>
    </row>
    <row r="190" spans="1:23" x14ac:dyDescent="0.35">
      <c r="A190" s="1"/>
      <c r="B190" s="61"/>
      <c r="C190" s="61"/>
      <c r="G190" s="1"/>
      <c r="H190" s="1"/>
      <c r="I190" s="1"/>
      <c r="K190" s="1"/>
      <c r="L190" s="1"/>
      <c r="N190" s="1"/>
      <c r="O190" s="1"/>
      <c r="P190" s="74"/>
      <c r="Q190" s="74"/>
      <c r="R190" s="75"/>
      <c r="T190" s="1"/>
      <c r="U190" s="1"/>
      <c r="V190" s="1"/>
      <c r="W190" s="1"/>
    </row>
    <row r="191" spans="1:23" x14ac:dyDescent="0.35">
      <c r="A191" s="1"/>
      <c r="B191" s="61"/>
      <c r="C191" s="61"/>
      <c r="G191" s="1"/>
      <c r="H191" s="1"/>
      <c r="I191" s="1"/>
      <c r="K191" s="1"/>
      <c r="L191" s="1"/>
      <c r="N191" s="1"/>
      <c r="O191" s="1"/>
      <c r="P191" s="74"/>
      <c r="Q191" s="74"/>
      <c r="R191" s="75"/>
      <c r="T191" s="1"/>
      <c r="U191" s="1"/>
      <c r="V191" s="1"/>
      <c r="W191" s="1"/>
    </row>
    <row r="192" spans="1:23" x14ac:dyDescent="0.35">
      <c r="B192" s="61"/>
      <c r="C192" s="61"/>
      <c r="G192" s="1"/>
      <c r="H192" s="1"/>
      <c r="I192" s="1"/>
      <c r="K192" s="1"/>
      <c r="L192" s="1"/>
      <c r="N192" s="1"/>
      <c r="O192" s="1"/>
      <c r="P192" s="74"/>
      <c r="Q192" s="74"/>
      <c r="R192" s="75"/>
      <c r="T192" s="1"/>
    </row>
    <row r="193" spans="2:20" x14ac:dyDescent="0.35">
      <c r="B193" s="61"/>
      <c r="C193" s="61"/>
      <c r="G193" s="1"/>
      <c r="H193" s="1"/>
      <c r="I193" s="1"/>
      <c r="K193" s="1"/>
      <c r="L193" s="1"/>
      <c r="N193" s="1"/>
      <c r="O193" s="1"/>
      <c r="P193" s="74"/>
      <c r="Q193" s="74"/>
      <c r="R193" s="75"/>
      <c r="T193" s="1"/>
    </row>
    <row r="194" spans="2:20" x14ac:dyDescent="0.35">
      <c r="B194" s="61"/>
      <c r="C194" s="61"/>
      <c r="G194" s="1"/>
      <c r="H194" s="1"/>
      <c r="I194" s="1"/>
      <c r="K194" s="1"/>
      <c r="L194" s="1"/>
      <c r="N194" s="1"/>
      <c r="O194" s="1"/>
      <c r="P194" s="74"/>
      <c r="Q194" s="74"/>
      <c r="R194" s="75"/>
      <c r="T194" s="1"/>
    </row>
    <row r="195" spans="2:20" x14ac:dyDescent="0.35">
      <c r="B195" s="61"/>
      <c r="C195" s="61"/>
      <c r="G195" s="1"/>
      <c r="H195" s="1"/>
      <c r="I195" s="1"/>
      <c r="K195" s="1"/>
      <c r="L195" s="1"/>
      <c r="N195" s="1"/>
      <c r="O195" s="1"/>
      <c r="P195" s="74"/>
      <c r="Q195" s="74"/>
      <c r="R195" s="75"/>
      <c r="T195" s="1"/>
    </row>
    <row r="196" spans="2:20" x14ac:dyDescent="0.35">
      <c r="B196" s="61"/>
      <c r="C196" s="61"/>
      <c r="G196" s="1"/>
      <c r="H196" s="1"/>
      <c r="I196" s="1"/>
      <c r="K196" s="1"/>
      <c r="L196" s="1"/>
      <c r="N196" s="1"/>
      <c r="O196" s="1"/>
      <c r="P196" s="74"/>
      <c r="Q196" s="74"/>
      <c r="R196" s="75"/>
      <c r="T196" s="1"/>
    </row>
    <row r="197" spans="2:20" x14ac:dyDescent="0.35">
      <c r="B197" s="61"/>
      <c r="C197" s="61"/>
      <c r="G197" s="1"/>
      <c r="H197" s="1"/>
      <c r="I197" s="1"/>
      <c r="K197" s="1"/>
      <c r="L197" s="1"/>
      <c r="N197" s="1"/>
      <c r="O197" s="1"/>
      <c r="P197" s="74"/>
      <c r="Q197" s="74"/>
      <c r="R197" s="75"/>
      <c r="T197" s="1"/>
    </row>
    <row r="198" spans="2:20" x14ac:dyDescent="0.35">
      <c r="B198" s="61"/>
      <c r="C198" s="61"/>
      <c r="G198" s="1"/>
      <c r="H198" s="1"/>
      <c r="I198" s="1"/>
      <c r="K198" s="1"/>
      <c r="L198" s="1"/>
      <c r="N198" s="1"/>
      <c r="O198" s="1"/>
      <c r="P198" s="74"/>
      <c r="Q198" s="74"/>
      <c r="R198" s="75"/>
      <c r="T198" s="1"/>
    </row>
    <row r="199" spans="2:20" x14ac:dyDescent="0.35">
      <c r="B199" s="61"/>
      <c r="C199" s="61"/>
      <c r="G199" s="1"/>
      <c r="H199" s="1"/>
      <c r="I199" s="1"/>
      <c r="K199" s="1"/>
      <c r="L199" s="1"/>
      <c r="N199" s="1"/>
      <c r="O199" s="1"/>
      <c r="P199" s="74"/>
      <c r="Q199" s="74"/>
      <c r="R199" s="75"/>
      <c r="T199" s="1"/>
    </row>
  </sheetData>
  <sheetProtection algorithmName="SHA-512" hashValue="wgKfoHK4XR5La3Hkrh/T4312lhKTRY2tNHcJQ5OhhP5rIqjPVibVY+O9QDOP1fm4wgr/e+ijFvUaLA807aWIRg==" saltValue="3N8xoI0qAm0iIm3ro4WfxA==" spinCount="100000" sheet="1" objects="1" scenarios="1" formatCells="0" selectLockedCells="1"/>
  <mergeCells count="102">
    <mergeCell ref="B10:C10"/>
    <mergeCell ref="B11:C11"/>
    <mergeCell ref="B12:C12"/>
    <mergeCell ref="B13:C13"/>
    <mergeCell ref="B14:C14"/>
    <mergeCell ref="N5:R5"/>
    <mergeCell ref="D5:F5"/>
    <mergeCell ref="B6:C6"/>
    <mergeCell ref="B8:C8"/>
    <mergeCell ref="B9:C9"/>
    <mergeCell ref="B24:C24"/>
    <mergeCell ref="B25:C25"/>
    <mergeCell ref="B26:C26"/>
    <mergeCell ref="B27:C27"/>
    <mergeCell ref="B28:C28"/>
    <mergeCell ref="B15:C15"/>
    <mergeCell ref="B20:C20"/>
    <mergeCell ref="B21:C21"/>
    <mergeCell ref="B22:C22"/>
    <mergeCell ref="B23:C23"/>
    <mergeCell ref="B34:C34"/>
    <mergeCell ref="B35:C35"/>
    <mergeCell ref="B40:C40"/>
    <mergeCell ref="B41:C41"/>
    <mergeCell ref="B42:C42"/>
    <mergeCell ref="B29:C29"/>
    <mergeCell ref="B30:C30"/>
    <mergeCell ref="B31:C31"/>
    <mergeCell ref="B32:C32"/>
    <mergeCell ref="B33:C33"/>
    <mergeCell ref="B50:C50"/>
    <mergeCell ref="B51:C51"/>
    <mergeCell ref="B52:C52"/>
    <mergeCell ref="B53:C53"/>
    <mergeCell ref="B54:C54"/>
    <mergeCell ref="B43:C43"/>
    <mergeCell ref="B44:C44"/>
    <mergeCell ref="B47:C47"/>
    <mergeCell ref="B48:C48"/>
    <mergeCell ref="B49:C49"/>
    <mergeCell ref="B63:C63"/>
    <mergeCell ref="B64:C64"/>
    <mergeCell ref="B65:C65"/>
    <mergeCell ref="B66:C66"/>
    <mergeCell ref="B67:C67"/>
    <mergeCell ref="B55:C55"/>
    <mergeCell ref="B56:C56"/>
    <mergeCell ref="B57:C57"/>
    <mergeCell ref="B58:C58"/>
    <mergeCell ref="B62:C62"/>
    <mergeCell ref="B81:C81"/>
    <mergeCell ref="B82:C82"/>
    <mergeCell ref="B83:C83"/>
    <mergeCell ref="B84:C84"/>
    <mergeCell ref="B85:C85"/>
    <mergeCell ref="B68:C68"/>
    <mergeCell ref="B74:C74"/>
    <mergeCell ref="B75:C75"/>
    <mergeCell ref="B76:C76"/>
    <mergeCell ref="B77:C77"/>
    <mergeCell ref="B94:C94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110:C110"/>
    <mergeCell ref="B111:C111"/>
    <mergeCell ref="B112:C112"/>
    <mergeCell ref="B118:C118"/>
    <mergeCell ref="B119:C119"/>
    <mergeCell ref="B101:C101"/>
    <mergeCell ref="B102:C102"/>
    <mergeCell ref="B103:C103"/>
    <mergeCell ref="B104:C104"/>
    <mergeCell ref="B109:C109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42:C142"/>
    <mergeCell ref="B143:C143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6:C136"/>
  </mergeCells>
  <conditionalFormatting sqref="B1:C1048576">
    <cfRule type="containsText" dxfId="23" priority="3" operator="containsText" text="*Rakennusselostus">
      <formula>NOT(ISERROR(SEARCH("*Rakennusselostus",B1)))</formula>
    </cfRule>
  </conditionalFormatting>
  <conditionalFormatting sqref="C3">
    <cfRule type="containsText" dxfId="22" priority="1" operator="containsText" text="*Tietoja puuttuu">
      <formula>NOT(ISERROR(SEARCH("*Tietoja puuttuu",C3)))</formula>
    </cfRule>
  </conditionalFormatting>
  <conditionalFormatting sqref="N3:N4">
    <cfRule type="containsText" dxfId="21" priority="2" operator="containsText" text="*Valitse">
      <formula>NOT(ISERROR(SEARCH("*Valitse",N3)))</formula>
    </cfRule>
  </conditionalFormatting>
  <conditionalFormatting sqref="N155">
    <cfRule type="cellIs" dxfId="20" priority="9" operator="greaterThan">
      <formula>$L$154</formula>
    </cfRule>
  </conditionalFormatting>
  <conditionalFormatting sqref="N156">
    <cfRule type="cellIs" dxfId="19" priority="7" operator="lessThan">
      <formula>0</formula>
    </cfRule>
    <cfRule type="cellIs" dxfId="18" priority="8" operator="greaterThan">
      <formula>2346.09</formula>
    </cfRule>
  </conditionalFormatting>
  <dataValidations count="2">
    <dataValidation type="list" allowBlank="1" showInputMessage="1" showErrorMessage="1" sqref="F8:F17 F20:F37 F40:F45 F47:F60 F62:F72 F74:F79 F81:F87 F89:F95 F97:F107 F109:F115 F118:F134 F136:F147" xr:uid="{CF6D3DAA-70B7-40FA-B1AE-CC9B49CFB8F2}">
      <formula1>$B$159:$B$169</formula1>
    </dataValidation>
    <dataValidation type="list" allowBlank="1" showInputMessage="1" showErrorMessage="1" sqref="L3:L4" xr:uid="{554BAA1D-E40C-4D69-8C05-7A07491B911E}">
      <formula1>$B$155:$B$157</formula1>
    </dataValidation>
  </dataValidations>
  <pageMargins left="0.23622047244094491" right="0.39370078740157483" top="0.35433070866141736" bottom="0.35433070866141736" header="0.11811023622047245" footer="0.31496062992125984"/>
  <pageSetup paperSize="8" scale="59" fitToHeight="0" orientation="landscape" r:id="rId1"/>
  <headerFooter differentOddEven="1">
    <oddHeader>&amp;RTulostettu &amp;D</oddHeader>
    <oddFooter>&amp;R&amp;9Lomake tuotettu Outokaita tuottamhan ry:n Vasara ja nauloja -hankkeessa</oddFooter>
  </headerFooter>
  <rowBreaks count="3" manualBreakCount="3">
    <brk id="78" max="19" man="1"/>
    <brk id="167" max="19" man="1"/>
    <brk id="204" max="19" man="1"/>
  </rowBreaks>
  <colBreaks count="1" manualBreakCount="1">
    <brk id="1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965C-22F9-45E6-8D88-638CDB665422}">
  <sheetPr codeName="Taul1">
    <tabColor rgb="FFFFFF00"/>
  </sheetPr>
  <dimension ref="A1:Y199"/>
  <sheetViews>
    <sheetView showGridLines="0" zoomScaleNormal="100" zoomScaleSheetLayoutView="90" workbookViewId="0">
      <selection activeCell="C13" sqref="C13"/>
    </sheetView>
  </sheetViews>
  <sheetFormatPr defaultRowHeight="14.5" x14ac:dyDescent="0.35"/>
  <cols>
    <col min="1" max="1" width="1.1796875" customWidth="1"/>
    <col min="2" max="2" width="49.7265625" style="31" customWidth="1"/>
    <col min="3" max="3" width="32.1796875" customWidth="1"/>
    <col min="4" max="4" width="9.54296875" customWidth="1"/>
    <col min="5" max="7" width="9.81640625" customWidth="1"/>
    <col min="8" max="9" width="10.1796875" customWidth="1"/>
    <col min="10" max="10" width="9.453125" customWidth="1"/>
    <col min="11" max="11" width="13.54296875" customWidth="1"/>
    <col min="12" max="12" width="2.81640625" customWidth="1"/>
    <col min="16" max="16" width="4.54296875" customWidth="1"/>
  </cols>
  <sheetData>
    <row r="1" spans="1:25" x14ac:dyDescent="0.35">
      <c r="A1" s="19"/>
      <c r="B1" s="30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25" ht="21" x14ac:dyDescent="0.35">
      <c r="A2" s="19"/>
      <c r="B2" s="285" t="s">
        <v>156</v>
      </c>
      <c r="C2" s="114" t="s">
        <v>173</v>
      </c>
      <c r="D2" s="342">
        <f>'Hankkeen tiedot'!D5</f>
        <v>0</v>
      </c>
      <c r="E2" s="342"/>
      <c r="F2" s="342"/>
      <c r="G2" s="134"/>
      <c r="L2" s="1"/>
    </row>
    <row r="3" spans="1:25" x14ac:dyDescent="0.35">
      <c r="A3" s="19"/>
      <c r="B3" s="286" t="s">
        <v>171</v>
      </c>
      <c r="C3" s="114" t="s">
        <v>174</v>
      </c>
      <c r="D3" s="342">
        <f>'Hankkeen tiedot'!D6</f>
        <v>0</v>
      </c>
      <c r="E3" s="342"/>
      <c r="F3" s="342"/>
      <c r="G3" s="134"/>
      <c r="L3" s="1"/>
    </row>
    <row r="4" spans="1:25" x14ac:dyDescent="0.35">
      <c r="A4" s="19"/>
      <c r="C4" s="114" t="s">
        <v>175</v>
      </c>
      <c r="D4" s="342">
        <f>'Hankkeen tiedot'!D7</f>
        <v>0</v>
      </c>
      <c r="E4" s="342"/>
      <c r="F4" s="342"/>
      <c r="G4" s="134"/>
      <c r="L4" s="1"/>
    </row>
    <row r="5" spans="1:25" x14ac:dyDescent="0.35">
      <c r="A5" s="19"/>
      <c r="C5" s="114" t="s">
        <v>176</v>
      </c>
      <c r="D5" s="342">
        <f>'Hankkeen tiedot'!D8</f>
        <v>0</v>
      </c>
      <c r="E5" s="342"/>
      <c r="F5" s="342"/>
      <c r="G5" s="342"/>
      <c r="L5" s="1"/>
    </row>
    <row r="6" spans="1:25" x14ac:dyDescent="0.35">
      <c r="A6" s="19"/>
      <c r="C6" s="114" t="s">
        <v>177</v>
      </c>
      <c r="D6" s="342">
        <f>'Hankkeen tiedot'!D9</f>
        <v>0</v>
      </c>
      <c r="E6" s="342"/>
      <c r="F6" s="342"/>
      <c r="G6" s="135"/>
      <c r="H6" s="120"/>
      <c r="I6" s="120"/>
      <c r="J6" s="120"/>
      <c r="K6" s="120"/>
      <c r="L6" s="1"/>
    </row>
    <row r="7" spans="1:25" x14ac:dyDescent="0.35">
      <c r="A7" s="19"/>
      <c r="C7" s="114" t="s">
        <v>179</v>
      </c>
      <c r="D7" s="343">
        <f>'Hankkeen tiedot'!D10</f>
        <v>0</v>
      </c>
      <c r="E7" s="342"/>
      <c r="F7" s="342"/>
      <c r="G7" s="342"/>
      <c r="H7" s="121" t="s">
        <v>31</v>
      </c>
      <c r="J7" s="122">
        <f>'Kustannusarvio|Rakennusselostus'!L3</f>
        <v>0</v>
      </c>
      <c r="L7" s="1"/>
    </row>
    <row r="8" spans="1:25" x14ac:dyDescent="0.35">
      <c r="A8" s="38"/>
      <c r="B8" s="287"/>
      <c r="D8" s="41"/>
      <c r="E8" s="41"/>
      <c r="F8" s="7"/>
      <c r="H8" s="121" t="s">
        <v>32</v>
      </c>
      <c r="J8" s="123">
        <f>'Kustannusarvio|Rakennusselostus'!L4</f>
        <v>0</v>
      </c>
      <c r="K8" s="41"/>
      <c r="L8" s="1"/>
    </row>
    <row r="9" spans="1:25" ht="7" customHeight="1" x14ac:dyDescent="0.35">
      <c r="A9" s="30"/>
      <c r="B9" s="45"/>
      <c r="C9" s="30"/>
      <c r="D9" s="30"/>
      <c r="E9" s="30"/>
      <c r="F9" s="30"/>
      <c r="G9" s="30"/>
      <c r="H9" s="30"/>
      <c r="I9" s="30"/>
      <c r="J9" s="30"/>
      <c r="K9" s="30"/>
      <c r="L9" s="1"/>
    </row>
    <row r="10" spans="1:25" ht="31" x14ac:dyDescent="0.35">
      <c r="A10" s="5"/>
      <c r="B10" s="45"/>
      <c r="C10" s="337" t="s">
        <v>30</v>
      </c>
      <c r="D10" s="338"/>
      <c r="E10" s="338"/>
      <c r="F10" s="46"/>
      <c r="G10" s="47"/>
      <c r="H10" s="47"/>
      <c r="I10" s="46"/>
      <c r="J10" s="47"/>
      <c r="K10" s="124"/>
      <c r="L10" s="1"/>
    </row>
    <row r="11" spans="1:25" ht="39" x14ac:dyDescent="0.35">
      <c r="A11" s="48"/>
      <c r="B11" s="288" t="s">
        <v>51</v>
      </c>
      <c r="C11" s="49" t="s">
        <v>62</v>
      </c>
      <c r="D11" s="50" t="s">
        <v>0</v>
      </c>
      <c r="E11" s="50" t="s">
        <v>49</v>
      </c>
      <c r="F11" s="50" t="s">
        <v>1</v>
      </c>
      <c r="G11" s="51" t="s">
        <v>153</v>
      </c>
      <c r="H11" s="50" t="s">
        <v>151</v>
      </c>
      <c r="I11" s="50" t="s">
        <v>152</v>
      </c>
      <c r="J11" s="50" t="s">
        <v>52</v>
      </c>
      <c r="K11" s="51" t="s">
        <v>154</v>
      </c>
      <c r="L11" s="1"/>
    </row>
    <row r="12" spans="1:25" x14ac:dyDescent="0.35">
      <c r="A12" s="28" t="s">
        <v>138</v>
      </c>
      <c r="B12" s="289"/>
      <c r="C12" s="57"/>
      <c r="D12" s="57"/>
      <c r="E12" s="57"/>
      <c r="F12" s="57"/>
      <c r="G12" s="57"/>
      <c r="H12" s="57"/>
      <c r="I12" s="57"/>
      <c r="J12" s="57"/>
      <c r="K12" s="58"/>
      <c r="L12" s="1"/>
    </row>
    <row r="13" spans="1:25" x14ac:dyDescent="0.35">
      <c r="A13" s="19"/>
      <c r="B13" s="290" t="s">
        <v>135</v>
      </c>
      <c r="C13" s="196">
        <f>'Kustannusarvio|Rakennusselostus'!D8</f>
        <v>0</v>
      </c>
      <c r="D13" s="194">
        <f>'Kustannusarvio|Rakennusselostus'!E8</f>
        <v>0</v>
      </c>
      <c r="E13" s="194">
        <f>'Kustannusarvio|Rakennusselostus'!F8</f>
        <v>0</v>
      </c>
      <c r="F13" s="194">
        <f>'Kustannusarvio|Rakennusselostus'!G8</f>
        <v>0</v>
      </c>
      <c r="G13" s="198">
        <f t="shared" ref="G13:G76" si="0">F13*D13</f>
        <v>0</v>
      </c>
      <c r="H13" s="194">
        <f>'Kustannusarvio|Rakennusselostus'!I8</f>
        <v>0</v>
      </c>
      <c r="I13" s="194">
        <f>'Kustannusarvio|Rakennusselostus'!J8</f>
        <v>0</v>
      </c>
      <c r="J13" s="194">
        <f>'Kustannusarvio|Rakennusselostus'!K8</f>
        <v>0</v>
      </c>
      <c r="K13" s="198">
        <f t="shared" ref="K13:K76" si="1">G13+H13+I13*J13</f>
        <v>0</v>
      </c>
      <c r="L13" s="1"/>
    </row>
    <row r="14" spans="1:25" x14ac:dyDescent="0.35">
      <c r="A14" s="19"/>
      <c r="B14" s="291" t="s">
        <v>136</v>
      </c>
      <c r="C14" s="196">
        <f>'Kustannusarvio|Rakennusselostus'!D9</f>
        <v>0</v>
      </c>
      <c r="D14" s="195">
        <f>'Kustannusarvio|Rakennusselostus'!E9</f>
        <v>0</v>
      </c>
      <c r="E14" s="195">
        <f>'Kustannusarvio|Rakennusselostus'!F9</f>
        <v>0</v>
      </c>
      <c r="F14" s="195">
        <f>'Kustannusarvio|Rakennusselostus'!G9</f>
        <v>0</v>
      </c>
      <c r="G14" s="198">
        <f t="shared" si="0"/>
        <v>0</v>
      </c>
      <c r="H14" s="195">
        <f>'Kustannusarvio|Rakennusselostus'!I9</f>
        <v>0</v>
      </c>
      <c r="I14" s="195">
        <f>'Kustannusarvio|Rakennusselostus'!J9</f>
        <v>0</v>
      </c>
      <c r="J14" s="195">
        <f>'Kustannusarvio|Rakennusselostus'!K9</f>
        <v>0</v>
      </c>
      <c r="K14" s="198">
        <f t="shared" si="1"/>
        <v>0</v>
      </c>
      <c r="L14" s="1"/>
    </row>
    <row r="15" spans="1:25" x14ac:dyDescent="0.35">
      <c r="A15" s="19"/>
      <c r="B15" s="291" t="s">
        <v>137</v>
      </c>
      <c r="C15" s="196">
        <f>'Kustannusarvio|Rakennusselostus'!D10</f>
        <v>0</v>
      </c>
      <c r="D15" s="195">
        <f>'Kustannusarvio|Rakennusselostus'!E10</f>
        <v>0</v>
      </c>
      <c r="E15" s="195">
        <f>'Kustannusarvio|Rakennusselostus'!F10</f>
        <v>0</v>
      </c>
      <c r="F15" s="195">
        <f>'Kustannusarvio|Rakennusselostus'!G10</f>
        <v>0</v>
      </c>
      <c r="G15" s="198">
        <f t="shared" si="0"/>
        <v>0</v>
      </c>
      <c r="H15" s="195">
        <f>'Kustannusarvio|Rakennusselostus'!I10</f>
        <v>0</v>
      </c>
      <c r="I15" s="195">
        <f>'Kustannusarvio|Rakennusselostus'!J10</f>
        <v>0</v>
      </c>
      <c r="J15" s="195">
        <f>'Kustannusarvio|Rakennusselostus'!K10</f>
        <v>0</v>
      </c>
      <c r="K15" s="198">
        <f t="shared" si="1"/>
        <v>0</v>
      </c>
      <c r="L15" s="1"/>
    </row>
    <row r="16" spans="1:25" x14ac:dyDescent="0.35">
      <c r="A16" s="19"/>
      <c r="B16" s="291" t="s">
        <v>139</v>
      </c>
      <c r="C16" s="196">
        <f>'Kustannusarvio|Rakennusselostus'!D11</f>
        <v>0</v>
      </c>
      <c r="D16" s="195">
        <f>'Kustannusarvio|Rakennusselostus'!E11</f>
        <v>0</v>
      </c>
      <c r="E16" s="195">
        <f>'Kustannusarvio|Rakennusselostus'!F11</f>
        <v>0</v>
      </c>
      <c r="F16" s="195">
        <f>'Kustannusarvio|Rakennusselostus'!G11</f>
        <v>0</v>
      </c>
      <c r="G16" s="198">
        <f t="shared" si="0"/>
        <v>0</v>
      </c>
      <c r="H16" s="195">
        <f>'Kustannusarvio|Rakennusselostus'!I11</f>
        <v>0</v>
      </c>
      <c r="I16" s="195">
        <f>'Kustannusarvio|Rakennusselostus'!J11</f>
        <v>0</v>
      </c>
      <c r="J16" s="195">
        <f>'Kustannusarvio|Rakennusselostus'!K11</f>
        <v>0</v>
      </c>
      <c r="K16" s="198">
        <f t="shared" si="1"/>
        <v>0</v>
      </c>
      <c r="L16" s="1"/>
      <c r="R16" s="125"/>
      <c r="S16" s="125"/>
      <c r="W16" s="21"/>
      <c r="X16" s="21"/>
      <c r="Y16" s="21"/>
    </row>
    <row r="17" spans="1:25" x14ac:dyDescent="0.35">
      <c r="A17" s="19"/>
      <c r="B17" s="291" t="s">
        <v>11</v>
      </c>
      <c r="C17" s="196">
        <f>'Kustannusarvio|Rakennusselostus'!D12</f>
        <v>0</v>
      </c>
      <c r="D17" s="195">
        <f>'Kustannusarvio|Rakennusselostus'!E12</f>
        <v>0</v>
      </c>
      <c r="E17" s="195">
        <f>'Kustannusarvio|Rakennusselostus'!F12</f>
        <v>0</v>
      </c>
      <c r="F17" s="195">
        <f>'Kustannusarvio|Rakennusselostus'!G12</f>
        <v>0</v>
      </c>
      <c r="G17" s="198">
        <f t="shared" si="0"/>
        <v>0</v>
      </c>
      <c r="H17" s="195">
        <f>'Kustannusarvio|Rakennusselostus'!I12</f>
        <v>0</v>
      </c>
      <c r="I17" s="195">
        <f>'Kustannusarvio|Rakennusselostus'!J12</f>
        <v>0</v>
      </c>
      <c r="J17" s="195">
        <f>'Kustannusarvio|Rakennusselostus'!K12</f>
        <v>0</v>
      </c>
      <c r="K17" s="198">
        <f t="shared" si="1"/>
        <v>0</v>
      </c>
      <c r="L17" s="1"/>
      <c r="R17" s="125"/>
      <c r="S17" s="125"/>
      <c r="W17" s="21"/>
      <c r="X17" s="21"/>
      <c r="Y17" s="21"/>
    </row>
    <row r="18" spans="1:25" x14ac:dyDescent="0.35">
      <c r="A18" s="19"/>
      <c r="B18" s="291" t="s">
        <v>12</v>
      </c>
      <c r="C18" s="196">
        <f>'Kustannusarvio|Rakennusselostus'!D13</f>
        <v>0</v>
      </c>
      <c r="D18" s="195">
        <f>'Kustannusarvio|Rakennusselostus'!E13</f>
        <v>0</v>
      </c>
      <c r="E18" s="195">
        <f>'Kustannusarvio|Rakennusselostus'!F13</f>
        <v>0</v>
      </c>
      <c r="F18" s="195">
        <f>'Kustannusarvio|Rakennusselostus'!G13</f>
        <v>0</v>
      </c>
      <c r="G18" s="198">
        <f t="shared" si="0"/>
        <v>0</v>
      </c>
      <c r="H18" s="195">
        <f>'Kustannusarvio|Rakennusselostus'!I13</f>
        <v>0</v>
      </c>
      <c r="I18" s="195">
        <f>'Kustannusarvio|Rakennusselostus'!J13</f>
        <v>0</v>
      </c>
      <c r="J18" s="195">
        <f>'Kustannusarvio|Rakennusselostus'!K13</f>
        <v>0</v>
      </c>
      <c r="K18" s="198">
        <f t="shared" si="1"/>
        <v>0</v>
      </c>
      <c r="L18" s="1"/>
      <c r="R18" s="125"/>
      <c r="S18" s="125"/>
      <c r="X18" s="21"/>
      <c r="Y18" s="21"/>
    </row>
    <row r="19" spans="1:25" s="31" customFormat="1" x14ac:dyDescent="0.35">
      <c r="A19" s="30"/>
      <c r="B19" s="292" t="s">
        <v>13</v>
      </c>
      <c r="C19" s="196">
        <f>'Kustannusarvio|Rakennusselostus'!D14</f>
        <v>0</v>
      </c>
      <c r="D19" s="197">
        <f>'Kustannusarvio|Rakennusselostus'!E14</f>
        <v>0</v>
      </c>
      <c r="E19" s="197">
        <f>'Kustannusarvio|Rakennusselostus'!F14</f>
        <v>0</v>
      </c>
      <c r="F19" s="197">
        <f>'Kustannusarvio|Rakennusselostus'!G14</f>
        <v>0</v>
      </c>
      <c r="G19" s="198">
        <f t="shared" si="0"/>
        <v>0</v>
      </c>
      <c r="H19" s="197">
        <f>'Kustannusarvio|Rakennusselostus'!I14</f>
        <v>0</v>
      </c>
      <c r="I19" s="197">
        <f>'Kustannusarvio|Rakennusselostus'!J14</f>
        <v>0</v>
      </c>
      <c r="J19" s="197">
        <f>'Kustannusarvio|Rakennusselostus'!K14</f>
        <v>0</v>
      </c>
      <c r="K19" s="198">
        <f t="shared" si="1"/>
        <v>0</v>
      </c>
      <c r="L19" s="1"/>
    </row>
    <row r="20" spans="1:25" x14ac:dyDescent="0.35">
      <c r="A20" s="19"/>
      <c r="B20" s="291" t="s">
        <v>190</v>
      </c>
      <c r="C20" s="196">
        <f>'Kustannusarvio|Rakennusselostus'!D15</f>
        <v>0</v>
      </c>
      <c r="D20" s="195">
        <f>'Kustannusarvio|Rakennusselostus'!E15</f>
        <v>0</v>
      </c>
      <c r="E20" s="195">
        <f>'Kustannusarvio|Rakennusselostus'!F15</f>
        <v>0</v>
      </c>
      <c r="F20" s="195">
        <f>'Kustannusarvio|Rakennusselostus'!G15</f>
        <v>0</v>
      </c>
      <c r="G20" s="198">
        <f t="shared" si="0"/>
        <v>0</v>
      </c>
      <c r="H20" s="195">
        <f>'Kustannusarvio|Rakennusselostus'!I15</f>
        <v>0</v>
      </c>
      <c r="I20" s="195">
        <f>'Kustannusarvio|Rakennusselostus'!J15</f>
        <v>0</v>
      </c>
      <c r="J20" s="195">
        <f>'Kustannusarvio|Rakennusselostus'!K15</f>
        <v>0</v>
      </c>
      <c r="K20" s="198">
        <f t="shared" si="1"/>
        <v>0</v>
      </c>
      <c r="L20" s="1"/>
    </row>
    <row r="21" spans="1:25" x14ac:dyDescent="0.35">
      <c r="A21" s="19"/>
      <c r="B21" s="293" t="str">
        <f>SUBSTITUTE(IF('Kustannusarvio|Rakennusselostus'!C16="",'Kustannusarvio|Rakennusselostus'!B16,'Kustannusarvio|Rakennusselostus'!C16),":","")</f>
        <v>Muu maksu</v>
      </c>
      <c r="C21" s="196">
        <f>'Kustannusarvio|Rakennusselostus'!D16</f>
        <v>0</v>
      </c>
      <c r="D21" s="195">
        <f>'Kustannusarvio|Rakennusselostus'!E16</f>
        <v>0</v>
      </c>
      <c r="E21" s="195">
        <f>'Kustannusarvio|Rakennusselostus'!F16</f>
        <v>0</v>
      </c>
      <c r="F21" s="195">
        <f>'Kustannusarvio|Rakennusselostus'!G16</f>
        <v>0</v>
      </c>
      <c r="G21" s="198">
        <f t="shared" si="0"/>
        <v>0</v>
      </c>
      <c r="H21" s="195">
        <f>'Kustannusarvio|Rakennusselostus'!I16</f>
        <v>0</v>
      </c>
      <c r="I21" s="195">
        <f>'Kustannusarvio|Rakennusselostus'!J16</f>
        <v>0</v>
      </c>
      <c r="J21" s="195">
        <f>'Kustannusarvio|Rakennusselostus'!K16</f>
        <v>0</v>
      </c>
      <c r="K21" s="198">
        <f t="shared" si="1"/>
        <v>0</v>
      </c>
      <c r="L21" s="1"/>
    </row>
    <row r="22" spans="1:25" x14ac:dyDescent="0.35">
      <c r="A22" s="19"/>
      <c r="B22" s="293" t="str">
        <f>SUBSTITUTE(IF('Kustannusarvio|Rakennusselostus'!C17="",'Kustannusarvio|Rakennusselostus'!B17,'Kustannusarvio|Rakennusselostus'!C17),":","")</f>
        <v>Muu maksu</v>
      </c>
      <c r="C22" s="196">
        <f>'Kustannusarvio|Rakennusselostus'!D17</f>
        <v>0</v>
      </c>
      <c r="D22" s="200">
        <f>'Kustannusarvio|Rakennusselostus'!E17</f>
        <v>0</v>
      </c>
      <c r="E22" s="200">
        <f>'Kustannusarvio|Rakennusselostus'!F17</f>
        <v>0</v>
      </c>
      <c r="F22" s="200">
        <f>'Kustannusarvio|Rakennusselostus'!G17</f>
        <v>0</v>
      </c>
      <c r="G22" s="248">
        <f t="shared" si="0"/>
        <v>0</v>
      </c>
      <c r="H22" s="200">
        <f>'Kustannusarvio|Rakennusselostus'!I17</f>
        <v>0</v>
      </c>
      <c r="I22" s="200">
        <f>'Kustannusarvio|Rakennusselostus'!J17</f>
        <v>0</v>
      </c>
      <c r="J22" s="200">
        <f>'Kustannusarvio|Rakennusselostus'!K17</f>
        <v>0</v>
      </c>
      <c r="K22" s="248">
        <f t="shared" si="1"/>
        <v>0</v>
      </c>
      <c r="L22" s="1"/>
    </row>
    <row r="23" spans="1:25" x14ac:dyDescent="0.35">
      <c r="A23" s="126" t="s">
        <v>67</v>
      </c>
      <c r="B23" s="294"/>
      <c r="C23" s="275"/>
      <c r="D23" s="57"/>
      <c r="E23" s="57"/>
      <c r="F23" s="57"/>
      <c r="G23" s="273"/>
      <c r="H23" s="57"/>
      <c r="I23" s="57"/>
      <c r="J23" s="57"/>
      <c r="K23" s="250"/>
      <c r="L23" s="1"/>
    </row>
    <row r="24" spans="1:25" x14ac:dyDescent="0.35">
      <c r="A24" s="36" t="s">
        <v>98</v>
      </c>
      <c r="B24" s="295"/>
      <c r="C24" s="276"/>
      <c r="D24" s="127"/>
      <c r="E24" s="127"/>
      <c r="F24" s="127"/>
      <c r="G24" s="274"/>
      <c r="H24" s="127"/>
      <c r="I24" s="127"/>
      <c r="J24" s="127"/>
      <c r="K24" s="251"/>
      <c r="L24" s="1"/>
    </row>
    <row r="25" spans="1:25" x14ac:dyDescent="0.35">
      <c r="A25" s="19"/>
      <c r="B25" s="290" t="s">
        <v>69</v>
      </c>
      <c r="C25" s="196">
        <f>'Kustannusarvio|Rakennusselostus'!D20</f>
        <v>0</v>
      </c>
      <c r="D25" s="201">
        <f>'Kustannusarvio|Rakennusselostus'!E20</f>
        <v>0</v>
      </c>
      <c r="E25" s="201">
        <f>'Kustannusarvio|Rakennusselostus'!F20</f>
        <v>0</v>
      </c>
      <c r="F25" s="201">
        <f>'Kustannusarvio|Rakennusselostus'!G20</f>
        <v>0</v>
      </c>
      <c r="G25" s="249">
        <f t="shared" si="0"/>
        <v>0</v>
      </c>
      <c r="H25" s="201">
        <f>'Kustannusarvio|Rakennusselostus'!I20</f>
        <v>0</v>
      </c>
      <c r="I25" s="201">
        <f>'Kustannusarvio|Rakennusselostus'!J20</f>
        <v>0</v>
      </c>
      <c r="J25" s="201">
        <f>'Kustannusarvio|Rakennusselostus'!K20</f>
        <v>0</v>
      </c>
      <c r="K25" s="249">
        <f t="shared" si="1"/>
        <v>0</v>
      </c>
      <c r="L25" s="1"/>
    </row>
    <row r="26" spans="1:25" x14ac:dyDescent="0.35">
      <c r="A26" s="19"/>
      <c r="B26" s="291" t="s">
        <v>68</v>
      </c>
      <c r="C26" s="196">
        <f>'Kustannusarvio|Rakennusselostus'!D21</f>
        <v>0</v>
      </c>
      <c r="D26" s="195">
        <f>'Kustannusarvio|Rakennusselostus'!E21</f>
        <v>0</v>
      </c>
      <c r="E26" s="195">
        <f>'Kustannusarvio|Rakennusselostus'!F21</f>
        <v>0</v>
      </c>
      <c r="F26" s="195">
        <f>'Kustannusarvio|Rakennusselostus'!G21</f>
        <v>0</v>
      </c>
      <c r="G26" s="198">
        <f t="shared" si="0"/>
        <v>0</v>
      </c>
      <c r="H26" s="195">
        <f>'Kustannusarvio|Rakennusselostus'!I21</f>
        <v>0</v>
      </c>
      <c r="I26" s="195">
        <f>'Kustannusarvio|Rakennusselostus'!J21</f>
        <v>0</v>
      </c>
      <c r="J26" s="195">
        <f>'Kustannusarvio|Rakennusselostus'!K21</f>
        <v>0</v>
      </c>
      <c r="K26" s="198">
        <f t="shared" si="1"/>
        <v>0</v>
      </c>
      <c r="L26" s="1"/>
    </row>
    <row r="27" spans="1:25" x14ac:dyDescent="0.35">
      <c r="A27" s="19"/>
      <c r="B27" s="291" t="s">
        <v>39</v>
      </c>
      <c r="C27" s="196">
        <f>'Kustannusarvio|Rakennusselostus'!D22</f>
        <v>0</v>
      </c>
      <c r="D27" s="195">
        <f>'Kustannusarvio|Rakennusselostus'!E22</f>
        <v>0</v>
      </c>
      <c r="E27" s="195">
        <f>'Kustannusarvio|Rakennusselostus'!F22</f>
        <v>0</v>
      </c>
      <c r="F27" s="195">
        <f>'Kustannusarvio|Rakennusselostus'!G22</f>
        <v>0</v>
      </c>
      <c r="G27" s="198">
        <f t="shared" si="0"/>
        <v>0</v>
      </c>
      <c r="H27" s="195">
        <f>'Kustannusarvio|Rakennusselostus'!I22</f>
        <v>0</v>
      </c>
      <c r="I27" s="195">
        <f>'Kustannusarvio|Rakennusselostus'!J22</f>
        <v>0</v>
      </c>
      <c r="J27" s="195">
        <f>'Kustannusarvio|Rakennusselostus'!K22</f>
        <v>0</v>
      </c>
      <c r="K27" s="198">
        <f t="shared" si="1"/>
        <v>0</v>
      </c>
      <c r="L27" s="1"/>
    </row>
    <row r="28" spans="1:25" x14ac:dyDescent="0.35">
      <c r="A28" s="19"/>
      <c r="B28" s="291" t="s">
        <v>40</v>
      </c>
      <c r="C28" s="196">
        <f>'Kustannusarvio|Rakennusselostus'!D23</f>
        <v>0</v>
      </c>
      <c r="D28" s="195">
        <f>'Kustannusarvio|Rakennusselostus'!E23</f>
        <v>0</v>
      </c>
      <c r="E28" s="195">
        <f>'Kustannusarvio|Rakennusselostus'!F23</f>
        <v>0</v>
      </c>
      <c r="F28" s="195">
        <f>'Kustannusarvio|Rakennusselostus'!G23</f>
        <v>0</v>
      </c>
      <c r="G28" s="198">
        <f t="shared" si="0"/>
        <v>0</v>
      </c>
      <c r="H28" s="195">
        <f>'Kustannusarvio|Rakennusselostus'!I23</f>
        <v>0</v>
      </c>
      <c r="I28" s="195">
        <f>'Kustannusarvio|Rakennusselostus'!J23</f>
        <v>0</v>
      </c>
      <c r="J28" s="195">
        <f>'Kustannusarvio|Rakennusselostus'!K23</f>
        <v>0</v>
      </c>
      <c r="K28" s="198">
        <f t="shared" si="1"/>
        <v>0</v>
      </c>
      <c r="L28" s="1"/>
    </row>
    <row r="29" spans="1:25" x14ac:dyDescent="0.35">
      <c r="A29" s="19"/>
      <c r="B29" s="291" t="s">
        <v>36</v>
      </c>
      <c r="C29" s="196">
        <f>'Kustannusarvio|Rakennusselostus'!D24</f>
        <v>0</v>
      </c>
      <c r="D29" s="195">
        <f>'Kustannusarvio|Rakennusselostus'!E24</f>
        <v>0</v>
      </c>
      <c r="E29" s="195">
        <f>'Kustannusarvio|Rakennusselostus'!F24</f>
        <v>0</v>
      </c>
      <c r="F29" s="195">
        <f>'Kustannusarvio|Rakennusselostus'!G24</f>
        <v>0</v>
      </c>
      <c r="G29" s="198">
        <f t="shared" si="0"/>
        <v>0</v>
      </c>
      <c r="H29" s="195">
        <f>'Kustannusarvio|Rakennusselostus'!I24</f>
        <v>0</v>
      </c>
      <c r="I29" s="195">
        <f>'Kustannusarvio|Rakennusselostus'!J24</f>
        <v>0</v>
      </c>
      <c r="J29" s="195">
        <f>'Kustannusarvio|Rakennusselostus'!K24</f>
        <v>0</v>
      </c>
      <c r="K29" s="198">
        <f t="shared" si="1"/>
        <v>0</v>
      </c>
      <c r="L29" s="1"/>
    </row>
    <row r="30" spans="1:25" x14ac:dyDescent="0.35">
      <c r="A30" s="19"/>
      <c r="B30" s="291" t="s">
        <v>14</v>
      </c>
      <c r="C30" s="196">
        <f>'Kustannusarvio|Rakennusselostus'!D25</f>
        <v>0</v>
      </c>
      <c r="D30" s="195">
        <f>'Kustannusarvio|Rakennusselostus'!E25</f>
        <v>0</v>
      </c>
      <c r="E30" s="195">
        <f>'Kustannusarvio|Rakennusselostus'!F25</f>
        <v>0</v>
      </c>
      <c r="F30" s="195">
        <f>'Kustannusarvio|Rakennusselostus'!G25</f>
        <v>0</v>
      </c>
      <c r="G30" s="198">
        <f t="shared" si="0"/>
        <v>0</v>
      </c>
      <c r="H30" s="195">
        <f>'Kustannusarvio|Rakennusselostus'!I25</f>
        <v>0</v>
      </c>
      <c r="I30" s="195">
        <f>'Kustannusarvio|Rakennusselostus'!J25</f>
        <v>0</v>
      </c>
      <c r="J30" s="195">
        <f>'Kustannusarvio|Rakennusselostus'!K25</f>
        <v>0</v>
      </c>
      <c r="K30" s="198">
        <f t="shared" si="1"/>
        <v>0</v>
      </c>
      <c r="L30" s="1"/>
    </row>
    <row r="31" spans="1:25" x14ac:dyDescent="0.35">
      <c r="A31" s="19"/>
      <c r="B31" s="291" t="s">
        <v>15</v>
      </c>
      <c r="C31" s="196">
        <f>'Kustannusarvio|Rakennusselostus'!D26</f>
        <v>0</v>
      </c>
      <c r="D31" s="195">
        <f>'Kustannusarvio|Rakennusselostus'!E26</f>
        <v>0</v>
      </c>
      <c r="E31" s="195">
        <f>'Kustannusarvio|Rakennusselostus'!F26</f>
        <v>0</v>
      </c>
      <c r="F31" s="195">
        <f>'Kustannusarvio|Rakennusselostus'!G26</f>
        <v>0</v>
      </c>
      <c r="G31" s="198">
        <f t="shared" si="0"/>
        <v>0</v>
      </c>
      <c r="H31" s="195">
        <f>'Kustannusarvio|Rakennusselostus'!I26</f>
        <v>0</v>
      </c>
      <c r="I31" s="195">
        <f>'Kustannusarvio|Rakennusselostus'!J26</f>
        <v>0</v>
      </c>
      <c r="J31" s="195">
        <f>'Kustannusarvio|Rakennusselostus'!K26</f>
        <v>0</v>
      </c>
      <c r="K31" s="198">
        <f t="shared" si="1"/>
        <v>0</v>
      </c>
      <c r="L31" s="1"/>
    </row>
    <row r="32" spans="1:25" x14ac:dyDescent="0.35">
      <c r="A32" s="19"/>
      <c r="B32" s="296" t="s">
        <v>73</v>
      </c>
      <c r="C32" s="196">
        <f>'Kustannusarvio|Rakennusselostus'!D27</f>
        <v>0</v>
      </c>
      <c r="D32" s="195">
        <f>'Kustannusarvio|Rakennusselostus'!E27</f>
        <v>0</v>
      </c>
      <c r="E32" s="195">
        <f>'Kustannusarvio|Rakennusselostus'!F27</f>
        <v>0</v>
      </c>
      <c r="F32" s="195">
        <f>'Kustannusarvio|Rakennusselostus'!G27</f>
        <v>0</v>
      </c>
      <c r="G32" s="198">
        <f t="shared" si="0"/>
        <v>0</v>
      </c>
      <c r="H32" s="195">
        <f>'Kustannusarvio|Rakennusselostus'!I27</f>
        <v>0</v>
      </c>
      <c r="I32" s="195">
        <f>'Kustannusarvio|Rakennusselostus'!J27</f>
        <v>0</v>
      </c>
      <c r="J32" s="195">
        <f>'Kustannusarvio|Rakennusselostus'!K27</f>
        <v>0</v>
      </c>
      <c r="K32" s="198">
        <f t="shared" si="1"/>
        <v>0</v>
      </c>
      <c r="L32" s="1"/>
    </row>
    <row r="33" spans="1:12" x14ac:dyDescent="0.35">
      <c r="A33" s="19"/>
      <c r="B33" s="291" t="s">
        <v>70</v>
      </c>
      <c r="C33" s="196">
        <f>'Kustannusarvio|Rakennusselostus'!D28</f>
        <v>0</v>
      </c>
      <c r="D33" s="195">
        <f>'Kustannusarvio|Rakennusselostus'!E28</f>
        <v>0</v>
      </c>
      <c r="E33" s="195">
        <f>'Kustannusarvio|Rakennusselostus'!F28</f>
        <v>0</v>
      </c>
      <c r="F33" s="195">
        <f>'Kustannusarvio|Rakennusselostus'!G28</f>
        <v>0</v>
      </c>
      <c r="G33" s="198">
        <f t="shared" si="0"/>
        <v>0</v>
      </c>
      <c r="H33" s="195">
        <f>'Kustannusarvio|Rakennusselostus'!I28</f>
        <v>0</v>
      </c>
      <c r="I33" s="195">
        <f>'Kustannusarvio|Rakennusselostus'!J28</f>
        <v>0</v>
      </c>
      <c r="J33" s="195">
        <f>'Kustannusarvio|Rakennusselostus'!K28</f>
        <v>0</v>
      </c>
      <c r="K33" s="198">
        <f t="shared" si="1"/>
        <v>0</v>
      </c>
      <c r="L33" s="1"/>
    </row>
    <row r="34" spans="1:12" x14ac:dyDescent="0.35">
      <c r="A34" s="19"/>
      <c r="B34" s="291" t="s">
        <v>71</v>
      </c>
      <c r="C34" s="196">
        <f>'Kustannusarvio|Rakennusselostus'!D29</f>
        <v>0</v>
      </c>
      <c r="D34" s="195">
        <f>'Kustannusarvio|Rakennusselostus'!E29</f>
        <v>0</v>
      </c>
      <c r="E34" s="195">
        <f>'Kustannusarvio|Rakennusselostus'!F29</f>
        <v>0</v>
      </c>
      <c r="F34" s="195">
        <f>'Kustannusarvio|Rakennusselostus'!G29</f>
        <v>0</v>
      </c>
      <c r="G34" s="198">
        <f t="shared" si="0"/>
        <v>0</v>
      </c>
      <c r="H34" s="195">
        <f>'Kustannusarvio|Rakennusselostus'!I29</f>
        <v>0</v>
      </c>
      <c r="I34" s="195">
        <f>'Kustannusarvio|Rakennusselostus'!J29</f>
        <v>0</v>
      </c>
      <c r="J34" s="195">
        <f>'Kustannusarvio|Rakennusselostus'!K29</f>
        <v>0</v>
      </c>
      <c r="K34" s="198">
        <f t="shared" si="1"/>
        <v>0</v>
      </c>
      <c r="L34" s="1"/>
    </row>
    <row r="35" spans="1:12" x14ac:dyDescent="0.35">
      <c r="A35" s="19"/>
      <c r="B35" s="291" t="s">
        <v>72</v>
      </c>
      <c r="C35" s="196">
        <f>'Kustannusarvio|Rakennusselostus'!D30</f>
        <v>0</v>
      </c>
      <c r="D35" s="195">
        <f>'Kustannusarvio|Rakennusselostus'!E30</f>
        <v>0</v>
      </c>
      <c r="E35" s="195">
        <f>'Kustannusarvio|Rakennusselostus'!F30</f>
        <v>0</v>
      </c>
      <c r="F35" s="195">
        <f>'Kustannusarvio|Rakennusselostus'!G30</f>
        <v>0</v>
      </c>
      <c r="G35" s="198">
        <f t="shared" si="0"/>
        <v>0</v>
      </c>
      <c r="H35" s="195">
        <f>'Kustannusarvio|Rakennusselostus'!I30</f>
        <v>0</v>
      </c>
      <c r="I35" s="195">
        <f>'Kustannusarvio|Rakennusselostus'!J30</f>
        <v>0</v>
      </c>
      <c r="J35" s="195">
        <f>'Kustannusarvio|Rakennusselostus'!K30</f>
        <v>0</v>
      </c>
      <c r="K35" s="198">
        <f t="shared" si="1"/>
        <v>0</v>
      </c>
      <c r="L35" s="1"/>
    </row>
    <row r="36" spans="1:12" x14ac:dyDescent="0.35">
      <c r="A36" s="19"/>
      <c r="B36" s="291" t="s">
        <v>74</v>
      </c>
      <c r="C36" s="196">
        <f>'Kustannusarvio|Rakennusselostus'!D31</f>
        <v>0</v>
      </c>
      <c r="D36" s="195">
        <f>'Kustannusarvio|Rakennusselostus'!E31</f>
        <v>0</v>
      </c>
      <c r="E36" s="195">
        <f>'Kustannusarvio|Rakennusselostus'!F31</f>
        <v>0</v>
      </c>
      <c r="F36" s="195">
        <f>'Kustannusarvio|Rakennusselostus'!G31</f>
        <v>0</v>
      </c>
      <c r="G36" s="198">
        <f t="shared" si="0"/>
        <v>0</v>
      </c>
      <c r="H36" s="195">
        <f>'Kustannusarvio|Rakennusselostus'!I31</f>
        <v>0</v>
      </c>
      <c r="I36" s="195">
        <f>'Kustannusarvio|Rakennusselostus'!J31</f>
        <v>0</v>
      </c>
      <c r="J36" s="195">
        <f>'Kustannusarvio|Rakennusselostus'!K31</f>
        <v>0</v>
      </c>
      <c r="K36" s="198">
        <f t="shared" si="1"/>
        <v>0</v>
      </c>
      <c r="L36" s="1"/>
    </row>
    <row r="37" spans="1:12" x14ac:dyDescent="0.35">
      <c r="A37" s="19"/>
      <c r="B37" s="291" t="s">
        <v>75</v>
      </c>
      <c r="C37" s="196">
        <f>'Kustannusarvio|Rakennusselostus'!D32</f>
        <v>0</v>
      </c>
      <c r="D37" s="195">
        <f>'Kustannusarvio|Rakennusselostus'!E32</f>
        <v>0</v>
      </c>
      <c r="E37" s="195">
        <f>'Kustannusarvio|Rakennusselostus'!F32</f>
        <v>0</v>
      </c>
      <c r="F37" s="195">
        <f>'Kustannusarvio|Rakennusselostus'!G32</f>
        <v>0</v>
      </c>
      <c r="G37" s="198">
        <f t="shared" si="0"/>
        <v>0</v>
      </c>
      <c r="H37" s="195">
        <f>'Kustannusarvio|Rakennusselostus'!I32</f>
        <v>0</v>
      </c>
      <c r="I37" s="195">
        <f>'Kustannusarvio|Rakennusselostus'!J32</f>
        <v>0</v>
      </c>
      <c r="J37" s="195">
        <f>'Kustannusarvio|Rakennusselostus'!K32</f>
        <v>0</v>
      </c>
      <c r="K37" s="198">
        <f t="shared" si="1"/>
        <v>0</v>
      </c>
      <c r="L37" s="1"/>
    </row>
    <row r="38" spans="1:12" x14ac:dyDescent="0.35">
      <c r="A38" s="19"/>
      <c r="B38" s="291" t="s">
        <v>76</v>
      </c>
      <c r="C38" s="196">
        <f>'Kustannusarvio|Rakennusselostus'!D33</f>
        <v>0</v>
      </c>
      <c r="D38" s="195">
        <f>'Kustannusarvio|Rakennusselostus'!E33</f>
        <v>0</v>
      </c>
      <c r="E38" s="195">
        <f>'Kustannusarvio|Rakennusselostus'!F33</f>
        <v>0</v>
      </c>
      <c r="F38" s="195">
        <f>'Kustannusarvio|Rakennusselostus'!G33</f>
        <v>0</v>
      </c>
      <c r="G38" s="198">
        <f t="shared" si="0"/>
        <v>0</v>
      </c>
      <c r="H38" s="195">
        <f>'Kustannusarvio|Rakennusselostus'!I33</f>
        <v>0</v>
      </c>
      <c r="I38" s="195">
        <f>'Kustannusarvio|Rakennusselostus'!J33</f>
        <v>0</v>
      </c>
      <c r="J38" s="195">
        <f>'Kustannusarvio|Rakennusselostus'!K33</f>
        <v>0</v>
      </c>
      <c r="K38" s="198">
        <f t="shared" si="1"/>
        <v>0</v>
      </c>
      <c r="L38" s="1"/>
    </row>
    <row r="39" spans="1:12" x14ac:dyDescent="0.35">
      <c r="A39" s="19"/>
      <c r="B39" s="291" t="s">
        <v>130</v>
      </c>
      <c r="C39" s="196">
        <f>'Kustannusarvio|Rakennusselostus'!D34</f>
        <v>0</v>
      </c>
      <c r="D39" s="195">
        <f>'Kustannusarvio|Rakennusselostus'!E34</f>
        <v>0</v>
      </c>
      <c r="E39" s="195">
        <f>'Kustannusarvio|Rakennusselostus'!F34</f>
        <v>0</v>
      </c>
      <c r="F39" s="195">
        <f>'Kustannusarvio|Rakennusselostus'!G34</f>
        <v>0</v>
      </c>
      <c r="G39" s="198">
        <f t="shared" si="0"/>
        <v>0</v>
      </c>
      <c r="H39" s="195">
        <f>'Kustannusarvio|Rakennusselostus'!I34</f>
        <v>0</v>
      </c>
      <c r="I39" s="195">
        <f>'Kustannusarvio|Rakennusselostus'!J34</f>
        <v>0</v>
      </c>
      <c r="J39" s="195">
        <f>'Kustannusarvio|Rakennusselostus'!K34</f>
        <v>0</v>
      </c>
      <c r="K39" s="198">
        <f t="shared" si="1"/>
        <v>0</v>
      </c>
      <c r="L39" s="1"/>
    </row>
    <row r="40" spans="1:12" x14ac:dyDescent="0.35">
      <c r="A40" s="19"/>
      <c r="B40" s="291" t="s">
        <v>5</v>
      </c>
      <c r="C40" s="196">
        <f>'Kustannusarvio|Rakennusselostus'!D35</f>
        <v>0</v>
      </c>
      <c r="D40" s="195">
        <f>'Kustannusarvio|Rakennusselostus'!E35</f>
        <v>0</v>
      </c>
      <c r="E40" s="195">
        <f>'Kustannusarvio|Rakennusselostus'!F35</f>
        <v>0</v>
      </c>
      <c r="F40" s="195">
        <f>'Kustannusarvio|Rakennusselostus'!G35</f>
        <v>0</v>
      </c>
      <c r="G40" s="198">
        <f t="shared" si="0"/>
        <v>0</v>
      </c>
      <c r="H40" s="195">
        <f>'Kustannusarvio|Rakennusselostus'!I35</f>
        <v>0</v>
      </c>
      <c r="I40" s="195">
        <f>'Kustannusarvio|Rakennusselostus'!J35</f>
        <v>0</v>
      </c>
      <c r="J40" s="195">
        <f>'Kustannusarvio|Rakennusselostus'!K35</f>
        <v>0</v>
      </c>
      <c r="K40" s="198">
        <f t="shared" si="1"/>
        <v>0</v>
      </c>
      <c r="L40" s="1"/>
    </row>
    <row r="41" spans="1:12" x14ac:dyDescent="0.35">
      <c r="A41" s="19"/>
      <c r="B41" s="293" t="str">
        <f>SUBSTITUTE(IF('Kustannusarvio|Rakennusselostus'!C36="",'Kustannusarvio|Rakennusselostus'!B36,'Kustannusarvio|Rakennusselostus'!C36),":","")</f>
        <v>Muu rakennusosa</v>
      </c>
      <c r="C41" s="196">
        <f>'Kustannusarvio|Rakennusselostus'!D36</f>
        <v>0</v>
      </c>
      <c r="D41" s="195">
        <f>'Kustannusarvio|Rakennusselostus'!E36</f>
        <v>0</v>
      </c>
      <c r="E41" s="195">
        <f>'Kustannusarvio|Rakennusselostus'!F36</f>
        <v>0</v>
      </c>
      <c r="F41" s="195">
        <f>'Kustannusarvio|Rakennusselostus'!G36</f>
        <v>0</v>
      </c>
      <c r="G41" s="198">
        <f t="shared" si="0"/>
        <v>0</v>
      </c>
      <c r="H41" s="195">
        <f>'Kustannusarvio|Rakennusselostus'!I36</f>
        <v>0</v>
      </c>
      <c r="I41" s="195">
        <f>'Kustannusarvio|Rakennusselostus'!J36</f>
        <v>0</v>
      </c>
      <c r="J41" s="195">
        <f>'Kustannusarvio|Rakennusselostus'!K36</f>
        <v>0</v>
      </c>
      <c r="K41" s="198">
        <f t="shared" si="1"/>
        <v>0</v>
      </c>
      <c r="L41" s="1"/>
    </row>
    <row r="42" spans="1:12" x14ac:dyDescent="0.35">
      <c r="A42" s="19"/>
      <c r="B42" s="293" t="str">
        <f>SUBSTITUTE(IF('Kustannusarvio|Rakennusselostus'!C37="",'Kustannusarvio|Rakennusselostus'!B37,'Kustannusarvio|Rakennusselostus'!C37),":","")</f>
        <v>Muu rakennusosa</v>
      </c>
      <c r="C42" s="196">
        <f>'Kustannusarvio|Rakennusselostus'!D37</f>
        <v>0</v>
      </c>
      <c r="D42" s="200">
        <f>'Kustannusarvio|Rakennusselostus'!E37</f>
        <v>0</v>
      </c>
      <c r="E42" s="200">
        <f>'Kustannusarvio|Rakennusselostus'!F37</f>
        <v>0</v>
      </c>
      <c r="F42" s="200">
        <f>'Kustannusarvio|Rakennusselostus'!G37</f>
        <v>0</v>
      </c>
      <c r="G42" s="198">
        <f t="shared" si="0"/>
        <v>0</v>
      </c>
      <c r="H42" s="200">
        <f>'Kustannusarvio|Rakennusselostus'!I37</f>
        <v>0</v>
      </c>
      <c r="I42" s="200">
        <f>'Kustannusarvio|Rakennusselostus'!J37</f>
        <v>0</v>
      </c>
      <c r="J42" s="200">
        <f>'Kustannusarvio|Rakennusselostus'!K37</f>
        <v>0</v>
      </c>
      <c r="K42" s="198">
        <f t="shared" si="1"/>
        <v>0</v>
      </c>
      <c r="L42" s="1"/>
    </row>
    <row r="43" spans="1:12" x14ac:dyDescent="0.35">
      <c r="A43" s="28" t="s">
        <v>77</v>
      </c>
      <c r="B43" s="297"/>
      <c r="C43" s="275"/>
      <c r="D43" s="57"/>
      <c r="E43" s="57"/>
      <c r="F43" s="57"/>
      <c r="G43" s="273"/>
      <c r="H43" s="57"/>
      <c r="I43" s="57"/>
      <c r="J43" s="57"/>
      <c r="K43" s="250"/>
      <c r="L43" s="1"/>
    </row>
    <row r="44" spans="1:12" x14ac:dyDescent="0.35">
      <c r="A44" s="15" t="s">
        <v>35</v>
      </c>
      <c r="B44" s="298"/>
      <c r="C44" s="276"/>
      <c r="D44" s="127"/>
      <c r="E44" s="127"/>
      <c r="F44" s="127"/>
      <c r="G44" s="274"/>
      <c r="H44" s="127"/>
      <c r="I44" s="127"/>
      <c r="J44" s="127"/>
      <c r="K44" s="251"/>
      <c r="L44" s="1"/>
    </row>
    <row r="45" spans="1:12" x14ac:dyDescent="0.35">
      <c r="A45" s="19"/>
      <c r="B45" s="299" t="s">
        <v>81</v>
      </c>
      <c r="C45" s="196">
        <f>'Kustannusarvio|Rakennusselostus'!D40</f>
        <v>0</v>
      </c>
      <c r="D45" s="201">
        <f>'Kustannusarvio|Rakennusselostus'!E40</f>
        <v>0</v>
      </c>
      <c r="E45" s="201">
        <f>'Kustannusarvio|Rakennusselostus'!F40</f>
        <v>0</v>
      </c>
      <c r="F45" s="201">
        <f>'Kustannusarvio|Rakennusselostus'!G40</f>
        <v>0</v>
      </c>
      <c r="G45" s="198">
        <f t="shared" si="0"/>
        <v>0</v>
      </c>
      <c r="H45" s="201">
        <f>'Kustannusarvio|Rakennusselostus'!I40</f>
        <v>0</v>
      </c>
      <c r="I45" s="201">
        <f>'Kustannusarvio|Rakennusselostus'!J40</f>
        <v>0</v>
      </c>
      <c r="J45" s="201">
        <f>'Kustannusarvio|Rakennusselostus'!K40</f>
        <v>0</v>
      </c>
      <c r="K45" s="198">
        <f t="shared" si="1"/>
        <v>0</v>
      </c>
      <c r="L45" s="1"/>
    </row>
    <row r="46" spans="1:12" x14ac:dyDescent="0.35">
      <c r="A46" s="19"/>
      <c r="B46" s="291" t="s">
        <v>78</v>
      </c>
      <c r="C46" s="196">
        <f>'Kustannusarvio|Rakennusselostus'!D41</f>
        <v>0</v>
      </c>
      <c r="D46" s="195">
        <f>'Kustannusarvio|Rakennusselostus'!E41</f>
        <v>0</v>
      </c>
      <c r="E46" s="195">
        <f>'Kustannusarvio|Rakennusselostus'!F41</f>
        <v>0</v>
      </c>
      <c r="F46" s="195">
        <f>'Kustannusarvio|Rakennusselostus'!G41</f>
        <v>0</v>
      </c>
      <c r="G46" s="198">
        <f t="shared" si="0"/>
        <v>0</v>
      </c>
      <c r="H46" s="195">
        <f>'Kustannusarvio|Rakennusselostus'!I41</f>
        <v>0</v>
      </c>
      <c r="I46" s="195">
        <f>'Kustannusarvio|Rakennusselostus'!J41</f>
        <v>0</v>
      </c>
      <c r="J46" s="195">
        <f>'Kustannusarvio|Rakennusselostus'!K41</f>
        <v>0</v>
      </c>
      <c r="K46" s="198">
        <f t="shared" si="1"/>
        <v>0</v>
      </c>
      <c r="L46" s="1"/>
    </row>
    <row r="47" spans="1:12" x14ac:dyDescent="0.35">
      <c r="A47" s="19"/>
      <c r="B47" s="291" t="s">
        <v>37</v>
      </c>
      <c r="C47" s="196">
        <f>'Kustannusarvio|Rakennusselostus'!D42</f>
        <v>0</v>
      </c>
      <c r="D47" s="195">
        <f>'Kustannusarvio|Rakennusselostus'!E42</f>
        <v>0</v>
      </c>
      <c r="E47" s="195">
        <f>'Kustannusarvio|Rakennusselostus'!F42</f>
        <v>0</v>
      </c>
      <c r="F47" s="195">
        <f>'Kustannusarvio|Rakennusselostus'!G42</f>
        <v>0</v>
      </c>
      <c r="G47" s="198">
        <f t="shared" si="0"/>
        <v>0</v>
      </c>
      <c r="H47" s="195">
        <f>'Kustannusarvio|Rakennusselostus'!I42</f>
        <v>0</v>
      </c>
      <c r="I47" s="195">
        <f>'Kustannusarvio|Rakennusselostus'!J42</f>
        <v>0</v>
      </c>
      <c r="J47" s="195">
        <f>'Kustannusarvio|Rakennusselostus'!K42</f>
        <v>0</v>
      </c>
      <c r="K47" s="198">
        <f t="shared" si="1"/>
        <v>0</v>
      </c>
      <c r="L47" s="1"/>
    </row>
    <row r="48" spans="1:12" x14ac:dyDescent="0.35">
      <c r="A48" s="19"/>
      <c r="B48" s="291" t="s">
        <v>79</v>
      </c>
      <c r="C48" s="196">
        <f>'Kustannusarvio|Rakennusselostus'!D43</f>
        <v>0</v>
      </c>
      <c r="D48" s="195">
        <f>'Kustannusarvio|Rakennusselostus'!E43</f>
        <v>0</v>
      </c>
      <c r="E48" s="195">
        <f>'Kustannusarvio|Rakennusselostus'!F43</f>
        <v>0</v>
      </c>
      <c r="F48" s="195">
        <f>'Kustannusarvio|Rakennusselostus'!G43</f>
        <v>0</v>
      </c>
      <c r="G48" s="198">
        <f t="shared" si="0"/>
        <v>0</v>
      </c>
      <c r="H48" s="195">
        <f>'Kustannusarvio|Rakennusselostus'!I43</f>
        <v>0</v>
      </c>
      <c r="I48" s="195">
        <f>'Kustannusarvio|Rakennusselostus'!J43</f>
        <v>0</v>
      </c>
      <c r="J48" s="195">
        <f>'Kustannusarvio|Rakennusselostus'!K43</f>
        <v>0</v>
      </c>
      <c r="K48" s="198">
        <f t="shared" si="1"/>
        <v>0</v>
      </c>
      <c r="L48" s="1"/>
    </row>
    <row r="49" spans="1:12" x14ac:dyDescent="0.35">
      <c r="A49" s="19"/>
      <c r="B49" s="291" t="s">
        <v>80</v>
      </c>
      <c r="C49" s="196">
        <f>'Kustannusarvio|Rakennusselostus'!D44</f>
        <v>0</v>
      </c>
      <c r="D49" s="195">
        <f>'Kustannusarvio|Rakennusselostus'!E44</f>
        <v>0</v>
      </c>
      <c r="E49" s="195">
        <f>'Kustannusarvio|Rakennusselostus'!F44</f>
        <v>0</v>
      </c>
      <c r="F49" s="195">
        <f>'Kustannusarvio|Rakennusselostus'!G44</f>
        <v>0</v>
      </c>
      <c r="G49" s="198">
        <f t="shared" si="0"/>
        <v>0</v>
      </c>
      <c r="H49" s="195">
        <f>'Kustannusarvio|Rakennusselostus'!I44</f>
        <v>0</v>
      </c>
      <c r="I49" s="195">
        <f>'Kustannusarvio|Rakennusselostus'!J44</f>
        <v>0</v>
      </c>
      <c r="J49" s="195">
        <f>'Kustannusarvio|Rakennusselostus'!K44</f>
        <v>0</v>
      </c>
      <c r="K49" s="198">
        <f t="shared" si="1"/>
        <v>0</v>
      </c>
      <c r="L49" s="1"/>
    </row>
    <row r="50" spans="1:12" x14ac:dyDescent="0.35">
      <c r="A50" s="19"/>
      <c r="B50" s="300" t="str">
        <f>SUBSTITUTE(IF('Kustannusarvio|Rakennusselostus'!C45="",'Kustannusarvio|Rakennusselostus'!B45,'Kustannusarvio|Rakennusselostus'!C45),":","")</f>
        <v>Muu rakenne</v>
      </c>
      <c r="C50" s="196">
        <f>'Kustannusarvio|Rakennusselostus'!D45</f>
        <v>0</v>
      </c>
      <c r="D50" s="200">
        <f>'Kustannusarvio|Rakennusselostus'!E45</f>
        <v>0</v>
      </c>
      <c r="E50" s="200">
        <f>'Kustannusarvio|Rakennusselostus'!F45</f>
        <v>0</v>
      </c>
      <c r="F50" s="200">
        <f>'Kustannusarvio|Rakennusselostus'!G45</f>
        <v>0</v>
      </c>
      <c r="G50" s="198">
        <f t="shared" si="0"/>
        <v>0</v>
      </c>
      <c r="H50" s="195">
        <f>'Kustannusarvio|Rakennusselostus'!I45</f>
        <v>0</v>
      </c>
      <c r="I50" s="195">
        <f>'Kustannusarvio|Rakennusselostus'!J45</f>
        <v>0</v>
      </c>
      <c r="J50" s="195">
        <f>'Kustannusarvio|Rakennusselostus'!K45</f>
        <v>0</v>
      </c>
      <c r="K50" s="198">
        <f t="shared" si="1"/>
        <v>0</v>
      </c>
      <c r="L50" s="1"/>
    </row>
    <row r="51" spans="1:12" x14ac:dyDescent="0.35">
      <c r="A51" s="32" t="s">
        <v>47</v>
      </c>
      <c r="B51" s="301"/>
      <c r="C51" s="276"/>
      <c r="D51" s="127"/>
      <c r="E51" s="127"/>
      <c r="F51" s="127"/>
      <c r="G51" s="274"/>
      <c r="H51" s="127"/>
      <c r="I51" s="127"/>
      <c r="J51" s="127"/>
      <c r="K51" s="251"/>
      <c r="L51" s="1"/>
    </row>
    <row r="52" spans="1:12" x14ac:dyDescent="0.35">
      <c r="A52" s="19"/>
      <c r="B52" s="291" t="s">
        <v>4</v>
      </c>
      <c r="C52" s="196">
        <f>'Kustannusarvio|Rakennusselostus'!D47</f>
        <v>0</v>
      </c>
      <c r="D52" s="195">
        <f>'Kustannusarvio|Rakennusselostus'!E47</f>
        <v>0</v>
      </c>
      <c r="E52" s="195">
        <f>'Kustannusarvio|Rakennusselostus'!F47</f>
        <v>0</v>
      </c>
      <c r="F52" s="195">
        <f>'Kustannusarvio|Rakennusselostus'!G47</f>
        <v>0</v>
      </c>
      <c r="G52" s="198">
        <f t="shared" si="0"/>
        <v>0</v>
      </c>
      <c r="H52" s="195">
        <f>'Kustannusarvio|Rakennusselostus'!I47</f>
        <v>0</v>
      </c>
      <c r="I52" s="195">
        <f>'Kustannusarvio|Rakennusselostus'!J47</f>
        <v>0</v>
      </c>
      <c r="J52" s="195">
        <f>'Kustannusarvio|Rakennusselostus'!K47</f>
        <v>0</v>
      </c>
      <c r="K52" s="198">
        <f t="shared" si="1"/>
        <v>0</v>
      </c>
      <c r="L52" s="1"/>
    </row>
    <row r="53" spans="1:12" x14ac:dyDescent="0.35">
      <c r="A53" s="19"/>
      <c r="B53" s="291" t="s">
        <v>37</v>
      </c>
      <c r="C53" s="196">
        <f>'Kustannusarvio|Rakennusselostus'!D48</f>
        <v>0</v>
      </c>
      <c r="D53" s="195">
        <f>'Kustannusarvio|Rakennusselostus'!E48</f>
        <v>0</v>
      </c>
      <c r="E53" s="195">
        <f>'Kustannusarvio|Rakennusselostus'!F48</f>
        <v>0</v>
      </c>
      <c r="F53" s="195">
        <f>'Kustannusarvio|Rakennusselostus'!G48</f>
        <v>0</v>
      </c>
      <c r="G53" s="198">
        <f t="shared" si="0"/>
        <v>0</v>
      </c>
      <c r="H53" s="195">
        <f>'Kustannusarvio|Rakennusselostus'!I48</f>
        <v>0</v>
      </c>
      <c r="I53" s="195">
        <f>'Kustannusarvio|Rakennusselostus'!J48</f>
        <v>0</v>
      </c>
      <c r="J53" s="195">
        <f>'Kustannusarvio|Rakennusselostus'!K48</f>
        <v>0</v>
      </c>
      <c r="K53" s="198">
        <f t="shared" si="1"/>
        <v>0</v>
      </c>
      <c r="L53" s="1"/>
    </row>
    <row r="54" spans="1:12" x14ac:dyDescent="0.35">
      <c r="A54" s="19"/>
      <c r="B54" s="291" t="s">
        <v>79</v>
      </c>
      <c r="C54" s="196">
        <f>'Kustannusarvio|Rakennusselostus'!D49</f>
        <v>0</v>
      </c>
      <c r="D54" s="195">
        <f>'Kustannusarvio|Rakennusselostus'!E49</f>
        <v>0</v>
      </c>
      <c r="E54" s="195">
        <f>'Kustannusarvio|Rakennusselostus'!F49</f>
        <v>0</v>
      </c>
      <c r="F54" s="195">
        <f>'Kustannusarvio|Rakennusselostus'!G49</f>
        <v>0</v>
      </c>
      <c r="G54" s="198">
        <f t="shared" si="0"/>
        <v>0</v>
      </c>
      <c r="H54" s="195">
        <f>'Kustannusarvio|Rakennusselostus'!I49</f>
        <v>0</v>
      </c>
      <c r="I54" s="195">
        <f>'Kustannusarvio|Rakennusselostus'!J49</f>
        <v>0</v>
      </c>
      <c r="J54" s="195">
        <f>'Kustannusarvio|Rakennusselostus'!K49</f>
        <v>0</v>
      </c>
      <c r="K54" s="198">
        <f t="shared" si="1"/>
        <v>0</v>
      </c>
      <c r="L54" s="1"/>
    </row>
    <row r="55" spans="1:12" x14ac:dyDescent="0.35">
      <c r="A55" s="19"/>
      <c r="B55" s="291" t="s">
        <v>82</v>
      </c>
      <c r="C55" s="196">
        <f>'Kustannusarvio|Rakennusselostus'!D50</f>
        <v>0</v>
      </c>
      <c r="D55" s="195">
        <f>'Kustannusarvio|Rakennusselostus'!E50</f>
        <v>0</v>
      </c>
      <c r="E55" s="195">
        <f>'Kustannusarvio|Rakennusselostus'!F50</f>
        <v>0</v>
      </c>
      <c r="F55" s="195">
        <f>'Kustannusarvio|Rakennusselostus'!G50</f>
        <v>0</v>
      </c>
      <c r="G55" s="198">
        <f t="shared" si="0"/>
        <v>0</v>
      </c>
      <c r="H55" s="195">
        <f>'Kustannusarvio|Rakennusselostus'!I50</f>
        <v>0</v>
      </c>
      <c r="I55" s="195">
        <f>'Kustannusarvio|Rakennusselostus'!J50</f>
        <v>0</v>
      </c>
      <c r="J55" s="195">
        <f>'Kustannusarvio|Rakennusselostus'!K50</f>
        <v>0</v>
      </c>
      <c r="K55" s="198">
        <f t="shared" si="1"/>
        <v>0</v>
      </c>
      <c r="L55" s="1"/>
    </row>
    <row r="56" spans="1:12" x14ac:dyDescent="0.35">
      <c r="A56" s="19"/>
      <c r="B56" s="291" t="s">
        <v>83</v>
      </c>
      <c r="C56" s="196">
        <f>'Kustannusarvio|Rakennusselostus'!D51</f>
        <v>0</v>
      </c>
      <c r="D56" s="195">
        <f>'Kustannusarvio|Rakennusselostus'!E51</f>
        <v>0</v>
      </c>
      <c r="E56" s="195">
        <f>'Kustannusarvio|Rakennusselostus'!F51</f>
        <v>0</v>
      </c>
      <c r="F56" s="195">
        <f>'Kustannusarvio|Rakennusselostus'!G51</f>
        <v>0</v>
      </c>
      <c r="G56" s="198">
        <f t="shared" si="0"/>
        <v>0</v>
      </c>
      <c r="H56" s="195">
        <f>'Kustannusarvio|Rakennusselostus'!I51</f>
        <v>0</v>
      </c>
      <c r="I56" s="195">
        <f>'Kustannusarvio|Rakennusselostus'!J51</f>
        <v>0</v>
      </c>
      <c r="J56" s="195">
        <f>'Kustannusarvio|Rakennusselostus'!K51</f>
        <v>0</v>
      </c>
      <c r="K56" s="198">
        <f t="shared" si="1"/>
        <v>0</v>
      </c>
      <c r="L56" s="1"/>
    </row>
    <row r="57" spans="1:12" x14ac:dyDescent="0.35">
      <c r="A57" s="19"/>
      <c r="B57" s="291" t="s">
        <v>84</v>
      </c>
      <c r="C57" s="196">
        <f>'Kustannusarvio|Rakennusselostus'!D52</f>
        <v>0</v>
      </c>
      <c r="D57" s="195">
        <f>'Kustannusarvio|Rakennusselostus'!E52</f>
        <v>0</v>
      </c>
      <c r="E57" s="195">
        <f>'Kustannusarvio|Rakennusselostus'!F52</f>
        <v>0</v>
      </c>
      <c r="F57" s="195">
        <f>'Kustannusarvio|Rakennusselostus'!G52</f>
        <v>0</v>
      </c>
      <c r="G57" s="198">
        <f t="shared" si="0"/>
        <v>0</v>
      </c>
      <c r="H57" s="195">
        <f>'Kustannusarvio|Rakennusselostus'!I52</f>
        <v>0</v>
      </c>
      <c r="I57" s="195">
        <f>'Kustannusarvio|Rakennusselostus'!J52</f>
        <v>0</v>
      </c>
      <c r="J57" s="195">
        <f>'Kustannusarvio|Rakennusselostus'!K52</f>
        <v>0</v>
      </c>
      <c r="K57" s="198">
        <f t="shared" si="1"/>
        <v>0</v>
      </c>
      <c r="L57" s="1"/>
    </row>
    <row r="58" spans="1:12" x14ac:dyDescent="0.35">
      <c r="A58" s="19"/>
      <c r="B58" s="296" t="s">
        <v>87</v>
      </c>
      <c r="C58" s="196">
        <f>'Kustannusarvio|Rakennusselostus'!D53</f>
        <v>0</v>
      </c>
      <c r="D58" s="195">
        <f>'Kustannusarvio|Rakennusselostus'!E53</f>
        <v>0</v>
      </c>
      <c r="E58" s="195">
        <f>'Kustannusarvio|Rakennusselostus'!F53</f>
        <v>0</v>
      </c>
      <c r="F58" s="195">
        <f>'Kustannusarvio|Rakennusselostus'!G53</f>
        <v>0</v>
      </c>
      <c r="G58" s="198">
        <f t="shared" si="0"/>
        <v>0</v>
      </c>
      <c r="H58" s="195">
        <f>'Kustannusarvio|Rakennusselostus'!I53</f>
        <v>0</v>
      </c>
      <c r="I58" s="195">
        <f>'Kustannusarvio|Rakennusselostus'!J53</f>
        <v>0</v>
      </c>
      <c r="J58" s="195">
        <f>'Kustannusarvio|Rakennusselostus'!K53</f>
        <v>0</v>
      </c>
      <c r="K58" s="198">
        <f t="shared" si="1"/>
        <v>0</v>
      </c>
      <c r="L58" s="1"/>
    </row>
    <row r="59" spans="1:12" x14ac:dyDescent="0.35">
      <c r="A59" s="19"/>
      <c r="B59" s="296" t="s">
        <v>194</v>
      </c>
      <c r="C59" s="196">
        <f>'Kustannusarvio|Rakennusselostus'!D54</f>
        <v>0</v>
      </c>
      <c r="D59" s="195">
        <f>'Kustannusarvio|Rakennusselostus'!E54</f>
        <v>0</v>
      </c>
      <c r="E59" s="195">
        <f>'Kustannusarvio|Rakennusselostus'!F54</f>
        <v>0</v>
      </c>
      <c r="F59" s="195">
        <f>'Kustannusarvio|Rakennusselostus'!G54</f>
        <v>0</v>
      </c>
      <c r="G59" s="198">
        <f t="shared" si="0"/>
        <v>0</v>
      </c>
      <c r="H59" s="195">
        <f>'Kustannusarvio|Rakennusselostus'!I54</f>
        <v>0</v>
      </c>
      <c r="I59" s="195">
        <f>'Kustannusarvio|Rakennusselostus'!J54</f>
        <v>0</v>
      </c>
      <c r="J59" s="195">
        <f>'Kustannusarvio|Rakennusselostus'!K54</f>
        <v>0</v>
      </c>
      <c r="K59" s="198">
        <f t="shared" si="1"/>
        <v>0</v>
      </c>
      <c r="L59" s="1"/>
    </row>
    <row r="60" spans="1:12" x14ac:dyDescent="0.35">
      <c r="A60" s="19"/>
      <c r="B60" s="296" t="s">
        <v>192</v>
      </c>
      <c r="C60" s="196">
        <f>'Kustannusarvio|Rakennusselostus'!D55</f>
        <v>0</v>
      </c>
      <c r="D60" s="195">
        <f>'Kustannusarvio|Rakennusselostus'!E55</f>
        <v>0</v>
      </c>
      <c r="E60" s="195">
        <f>'Kustannusarvio|Rakennusselostus'!F55</f>
        <v>0</v>
      </c>
      <c r="F60" s="195">
        <f>'Kustannusarvio|Rakennusselostus'!G55</f>
        <v>0</v>
      </c>
      <c r="G60" s="198">
        <f t="shared" si="0"/>
        <v>0</v>
      </c>
      <c r="H60" s="195">
        <f>'Kustannusarvio|Rakennusselostus'!I55</f>
        <v>0</v>
      </c>
      <c r="I60" s="195">
        <f>'Kustannusarvio|Rakennusselostus'!J55</f>
        <v>0</v>
      </c>
      <c r="J60" s="195">
        <f>'Kustannusarvio|Rakennusselostus'!K55</f>
        <v>0</v>
      </c>
      <c r="K60" s="198">
        <f t="shared" si="1"/>
        <v>0</v>
      </c>
      <c r="L60" s="1"/>
    </row>
    <row r="61" spans="1:12" x14ac:dyDescent="0.35">
      <c r="A61" s="19"/>
      <c r="B61" s="296" t="s">
        <v>193</v>
      </c>
      <c r="C61" s="196">
        <f>'Kustannusarvio|Rakennusselostus'!D56</f>
        <v>0</v>
      </c>
      <c r="D61" s="195">
        <f>'Kustannusarvio|Rakennusselostus'!E56</f>
        <v>0</v>
      </c>
      <c r="E61" s="195">
        <f>'Kustannusarvio|Rakennusselostus'!F56</f>
        <v>0</v>
      </c>
      <c r="F61" s="195">
        <f>'Kustannusarvio|Rakennusselostus'!G56</f>
        <v>0</v>
      </c>
      <c r="G61" s="198">
        <f t="shared" si="0"/>
        <v>0</v>
      </c>
      <c r="H61" s="195">
        <f>'Kustannusarvio|Rakennusselostus'!I56</f>
        <v>0</v>
      </c>
      <c r="I61" s="195">
        <f>'Kustannusarvio|Rakennusselostus'!J56</f>
        <v>0</v>
      </c>
      <c r="J61" s="195">
        <f>'Kustannusarvio|Rakennusselostus'!K56</f>
        <v>0</v>
      </c>
      <c r="K61" s="198">
        <f t="shared" si="1"/>
        <v>0</v>
      </c>
      <c r="L61" s="1"/>
    </row>
    <row r="62" spans="1:12" x14ac:dyDescent="0.35">
      <c r="A62" s="19"/>
      <c r="B62" s="296" t="s">
        <v>195</v>
      </c>
      <c r="C62" s="196">
        <f>'Kustannusarvio|Rakennusselostus'!D57</f>
        <v>0</v>
      </c>
      <c r="D62" s="195">
        <f>'Kustannusarvio|Rakennusselostus'!E57</f>
        <v>0</v>
      </c>
      <c r="E62" s="195">
        <f>'Kustannusarvio|Rakennusselostus'!F57</f>
        <v>0</v>
      </c>
      <c r="F62" s="195">
        <f>'Kustannusarvio|Rakennusselostus'!G57</f>
        <v>0</v>
      </c>
      <c r="G62" s="198">
        <f t="shared" si="0"/>
        <v>0</v>
      </c>
      <c r="H62" s="195">
        <f>'Kustannusarvio|Rakennusselostus'!I57</f>
        <v>0</v>
      </c>
      <c r="I62" s="195">
        <f>'Kustannusarvio|Rakennusselostus'!J57</f>
        <v>0</v>
      </c>
      <c r="J62" s="195">
        <f>'Kustannusarvio|Rakennusselostus'!K57</f>
        <v>0</v>
      </c>
      <c r="K62" s="198">
        <f t="shared" si="1"/>
        <v>0</v>
      </c>
      <c r="L62" s="1"/>
    </row>
    <row r="63" spans="1:12" x14ac:dyDescent="0.35">
      <c r="A63" s="19"/>
      <c r="B63" s="291" t="s">
        <v>48</v>
      </c>
      <c r="C63" s="196">
        <f>'Kustannusarvio|Rakennusselostus'!D58</f>
        <v>0</v>
      </c>
      <c r="D63" s="195">
        <f>'Kustannusarvio|Rakennusselostus'!E58</f>
        <v>0</v>
      </c>
      <c r="E63" s="195">
        <f>'Kustannusarvio|Rakennusselostus'!F58</f>
        <v>0</v>
      </c>
      <c r="F63" s="195">
        <f>'Kustannusarvio|Rakennusselostus'!G58</f>
        <v>0</v>
      </c>
      <c r="G63" s="198">
        <f t="shared" si="0"/>
        <v>0</v>
      </c>
      <c r="H63" s="195">
        <f>'Kustannusarvio|Rakennusselostus'!I58</f>
        <v>0</v>
      </c>
      <c r="I63" s="195">
        <f>'Kustannusarvio|Rakennusselostus'!J58</f>
        <v>0</v>
      </c>
      <c r="J63" s="195">
        <f>'Kustannusarvio|Rakennusselostus'!K58</f>
        <v>0</v>
      </c>
      <c r="K63" s="198">
        <f t="shared" si="1"/>
        <v>0</v>
      </c>
      <c r="L63" s="1"/>
    </row>
    <row r="64" spans="1:12" x14ac:dyDescent="0.35">
      <c r="A64" s="19"/>
      <c r="B64" s="293" t="str">
        <f>SUBSTITUTE(IF('Kustannusarvio|Rakennusselostus'!C59="",'Kustannusarvio|Rakennusselostus'!B59,'Kustannusarvio|Rakennusselostus'!C59),":","")</f>
        <v>Muu runkorakenne</v>
      </c>
      <c r="C64" s="196">
        <f>'Kustannusarvio|Rakennusselostus'!D59</f>
        <v>0</v>
      </c>
      <c r="D64" s="195">
        <f>'Kustannusarvio|Rakennusselostus'!E59</f>
        <v>0</v>
      </c>
      <c r="E64" s="195">
        <f>'Kustannusarvio|Rakennusselostus'!F59</f>
        <v>0</v>
      </c>
      <c r="F64" s="195">
        <f>'Kustannusarvio|Rakennusselostus'!G59</f>
        <v>0</v>
      </c>
      <c r="G64" s="198">
        <f t="shared" si="0"/>
        <v>0</v>
      </c>
      <c r="H64" s="195">
        <f>'Kustannusarvio|Rakennusselostus'!I59</f>
        <v>0</v>
      </c>
      <c r="I64" s="195">
        <f>'Kustannusarvio|Rakennusselostus'!J59</f>
        <v>0</v>
      </c>
      <c r="J64" s="195">
        <f>'Kustannusarvio|Rakennusselostus'!K59</f>
        <v>0</v>
      </c>
      <c r="K64" s="198">
        <f t="shared" si="1"/>
        <v>0</v>
      </c>
      <c r="L64" s="1"/>
    </row>
    <row r="65" spans="1:12" x14ac:dyDescent="0.35">
      <c r="A65" s="19"/>
      <c r="B65" s="293" t="str">
        <f>SUBSTITUTE(IF('Kustannusarvio|Rakennusselostus'!C60="",'Kustannusarvio|Rakennusselostus'!B60,'Kustannusarvio|Rakennusselostus'!C60),":","")</f>
        <v>Muu runkorakenne</v>
      </c>
      <c r="C65" s="196">
        <f>'Kustannusarvio|Rakennusselostus'!D60</f>
        <v>0</v>
      </c>
      <c r="D65" s="200">
        <f>'Kustannusarvio|Rakennusselostus'!E60</f>
        <v>0</v>
      </c>
      <c r="E65" s="200">
        <f>'Kustannusarvio|Rakennusselostus'!F60</f>
        <v>0</v>
      </c>
      <c r="F65" s="200">
        <f>'Kustannusarvio|Rakennusselostus'!G60</f>
        <v>0</v>
      </c>
      <c r="G65" s="198">
        <f t="shared" si="0"/>
        <v>0</v>
      </c>
      <c r="H65" s="195">
        <f>'Kustannusarvio|Rakennusselostus'!I60</f>
        <v>0</v>
      </c>
      <c r="I65" s="195">
        <f>'Kustannusarvio|Rakennusselostus'!J60</f>
        <v>0</v>
      </c>
      <c r="J65" s="195">
        <f>'Kustannusarvio|Rakennusselostus'!K60</f>
        <v>0</v>
      </c>
      <c r="K65" s="198">
        <f t="shared" si="1"/>
        <v>0</v>
      </c>
      <c r="L65" s="1"/>
    </row>
    <row r="66" spans="1:12" x14ac:dyDescent="0.35">
      <c r="A66" s="32" t="s">
        <v>85</v>
      </c>
      <c r="B66" s="301"/>
      <c r="C66" s="276"/>
      <c r="D66" s="127"/>
      <c r="E66" s="127"/>
      <c r="F66" s="127"/>
      <c r="G66" s="274"/>
      <c r="H66" s="127"/>
      <c r="I66" s="127"/>
      <c r="J66" s="127"/>
      <c r="K66" s="251"/>
      <c r="L66" s="1"/>
    </row>
    <row r="67" spans="1:12" ht="15" customHeight="1" x14ac:dyDescent="0.35">
      <c r="A67" s="19"/>
      <c r="B67" s="291" t="s">
        <v>116</v>
      </c>
      <c r="C67" s="196">
        <f>'Kustannusarvio|Rakennusselostus'!D62</f>
        <v>0</v>
      </c>
      <c r="D67" s="195">
        <f>'Kustannusarvio|Rakennusselostus'!E62</f>
        <v>0</v>
      </c>
      <c r="E67" s="195">
        <f>'Kustannusarvio|Rakennusselostus'!F62</f>
        <v>0</v>
      </c>
      <c r="F67" s="195">
        <f>'Kustannusarvio|Rakennusselostus'!G62</f>
        <v>0</v>
      </c>
      <c r="G67" s="198">
        <f t="shared" si="0"/>
        <v>0</v>
      </c>
      <c r="H67" s="195">
        <f>'Kustannusarvio|Rakennusselostus'!I62</f>
        <v>0</v>
      </c>
      <c r="I67" s="195">
        <f>'Kustannusarvio|Rakennusselostus'!J62</f>
        <v>0</v>
      </c>
      <c r="J67" s="195">
        <f>'Kustannusarvio|Rakennusselostus'!K62</f>
        <v>0</v>
      </c>
      <c r="K67" s="198">
        <f t="shared" si="1"/>
        <v>0</v>
      </c>
      <c r="L67" s="1"/>
    </row>
    <row r="68" spans="1:12" ht="15" customHeight="1" x14ac:dyDescent="0.35">
      <c r="A68" s="19"/>
      <c r="B68" s="291" t="s">
        <v>117</v>
      </c>
      <c r="C68" s="196">
        <f>'Kustannusarvio|Rakennusselostus'!D63</f>
        <v>0</v>
      </c>
      <c r="D68" s="195">
        <f>'Kustannusarvio|Rakennusselostus'!E63</f>
        <v>0</v>
      </c>
      <c r="E68" s="195">
        <f>'Kustannusarvio|Rakennusselostus'!F63</f>
        <v>0</v>
      </c>
      <c r="F68" s="195">
        <f>'Kustannusarvio|Rakennusselostus'!G63</f>
        <v>0</v>
      </c>
      <c r="G68" s="198">
        <f t="shared" si="0"/>
        <v>0</v>
      </c>
      <c r="H68" s="195">
        <f>'Kustannusarvio|Rakennusselostus'!I63</f>
        <v>0</v>
      </c>
      <c r="I68" s="195">
        <f>'Kustannusarvio|Rakennusselostus'!J63</f>
        <v>0</v>
      </c>
      <c r="J68" s="195">
        <f>'Kustannusarvio|Rakennusselostus'!K63</f>
        <v>0</v>
      </c>
      <c r="K68" s="198">
        <f t="shared" si="1"/>
        <v>0</v>
      </c>
      <c r="L68" s="1"/>
    </row>
    <row r="69" spans="1:12" ht="15" customHeight="1" x14ac:dyDescent="0.35">
      <c r="A69" s="19"/>
      <c r="B69" s="291" t="s">
        <v>118</v>
      </c>
      <c r="C69" s="196">
        <f>'Kustannusarvio|Rakennusselostus'!D64</f>
        <v>0</v>
      </c>
      <c r="D69" s="195">
        <f>'Kustannusarvio|Rakennusselostus'!E64</f>
        <v>0</v>
      </c>
      <c r="E69" s="195">
        <f>'Kustannusarvio|Rakennusselostus'!F64</f>
        <v>0</v>
      </c>
      <c r="F69" s="195">
        <f>'Kustannusarvio|Rakennusselostus'!G64</f>
        <v>0</v>
      </c>
      <c r="G69" s="198">
        <f t="shared" si="0"/>
        <v>0</v>
      </c>
      <c r="H69" s="195">
        <f>'Kustannusarvio|Rakennusselostus'!I64</f>
        <v>0</v>
      </c>
      <c r="I69" s="195">
        <f>'Kustannusarvio|Rakennusselostus'!J64</f>
        <v>0</v>
      </c>
      <c r="J69" s="195">
        <f>'Kustannusarvio|Rakennusselostus'!K64</f>
        <v>0</v>
      </c>
      <c r="K69" s="198">
        <f t="shared" si="1"/>
        <v>0</v>
      </c>
      <c r="L69" s="1"/>
    </row>
    <row r="70" spans="1:12" ht="15" customHeight="1" x14ac:dyDescent="0.35">
      <c r="A70" s="19"/>
      <c r="B70" s="291" t="s">
        <v>119</v>
      </c>
      <c r="C70" s="196">
        <f>'Kustannusarvio|Rakennusselostus'!D65</f>
        <v>0</v>
      </c>
      <c r="D70" s="195">
        <f>'Kustannusarvio|Rakennusselostus'!E65</f>
        <v>0</v>
      </c>
      <c r="E70" s="195">
        <f>'Kustannusarvio|Rakennusselostus'!F65</f>
        <v>0</v>
      </c>
      <c r="F70" s="195">
        <f>'Kustannusarvio|Rakennusselostus'!G65</f>
        <v>0</v>
      </c>
      <c r="G70" s="198">
        <f t="shared" si="0"/>
        <v>0</v>
      </c>
      <c r="H70" s="195">
        <f>'Kustannusarvio|Rakennusselostus'!I65</f>
        <v>0</v>
      </c>
      <c r="I70" s="195">
        <f>'Kustannusarvio|Rakennusselostus'!J65</f>
        <v>0</v>
      </c>
      <c r="J70" s="195">
        <f>'Kustannusarvio|Rakennusselostus'!K65</f>
        <v>0</v>
      </c>
      <c r="K70" s="198">
        <f t="shared" si="1"/>
        <v>0</v>
      </c>
      <c r="L70" s="1"/>
    </row>
    <row r="71" spans="1:12" x14ac:dyDescent="0.35">
      <c r="A71" s="19"/>
      <c r="B71" s="291" t="s">
        <v>6</v>
      </c>
      <c r="C71" s="196">
        <f>'Kustannusarvio|Rakennusselostus'!D66</f>
        <v>0</v>
      </c>
      <c r="D71" s="195">
        <f>'Kustannusarvio|Rakennusselostus'!E66</f>
        <v>0</v>
      </c>
      <c r="E71" s="195">
        <f>'Kustannusarvio|Rakennusselostus'!F66</f>
        <v>0</v>
      </c>
      <c r="F71" s="195">
        <f>'Kustannusarvio|Rakennusselostus'!G66</f>
        <v>0</v>
      </c>
      <c r="G71" s="198">
        <f t="shared" si="0"/>
        <v>0</v>
      </c>
      <c r="H71" s="195">
        <f>'Kustannusarvio|Rakennusselostus'!I66</f>
        <v>0</v>
      </c>
      <c r="I71" s="195">
        <f>'Kustannusarvio|Rakennusselostus'!J66</f>
        <v>0</v>
      </c>
      <c r="J71" s="195">
        <f>'Kustannusarvio|Rakennusselostus'!K66</f>
        <v>0</v>
      </c>
      <c r="K71" s="198">
        <f t="shared" si="1"/>
        <v>0</v>
      </c>
      <c r="L71" s="1"/>
    </row>
    <row r="72" spans="1:12" x14ac:dyDescent="0.35">
      <c r="A72" s="19"/>
      <c r="B72" s="291" t="s">
        <v>7</v>
      </c>
      <c r="C72" s="196">
        <f>'Kustannusarvio|Rakennusselostus'!D67</f>
        <v>0</v>
      </c>
      <c r="D72" s="195">
        <f>'Kustannusarvio|Rakennusselostus'!E67</f>
        <v>0</v>
      </c>
      <c r="E72" s="195">
        <f>'Kustannusarvio|Rakennusselostus'!F67</f>
        <v>0</v>
      </c>
      <c r="F72" s="195">
        <f>'Kustannusarvio|Rakennusselostus'!G67</f>
        <v>0</v>
      </c>
      <c r="G72" s="198">
        <f t="shared" si="0"/>
        <v>0</v>
      </c>
      <c r="H72" s="195">
        <f>'Kustannusarvio|Rakennusselostus'!I67</f>
        <v>0</v>
      </c>
      <c r="I72" s="195">
        <f>'Kustannusarvio|Rakennusselostus'!J67</f>
        <v>0</v>
      </c>
      <c r="J72" s="195">
        <f>'Kustannusarvio|Rakennusselostus'!K67</f>
        <v>0</v>
      </c>
      <c r="K72" s="198">
        <f t="shared" si="1"/>
        <v>0</v>
      </c>
      <c r="L72" s="1"/>
    </row>
    <row r="73" spans="1:12" x14ac:dyDescent="0.35">
      <c r="A73" s="19"/>
      <c r="B73" s="291" t="s">
        <v>86</v>
      </c>
      <c r="C73" s="196">
        <f>'Kustannusarvio|Rakennusselostus'!D68</f>
        <v>0</v>
      </c>
      <c r="D73" s="195">
        <f>'Kustannusarvio|Rakennusselostus'!E68</f>
        <v>0</v>
      </c>
      <c r="E73" s="195">
        <f>'Kustannusarvio|Rakennusselostus'!F68</f>
        <v>0</v>
      </c>
      <c r="F73" s="195">
        <f>'Kustannusarvio|Rakennusselostus'!G68</f>
        <v>0</v>
      </c>
      <c r="G73" s="198">
        <f t="shared" si="0"/>
        <v>0</v>
      </c>
      <c r="H73" s="195">
        <f>'Kustannusarvio|Rakennusselostus'!I68</f>
        <v>0</v>
      </c>
      <c r="I73" s="195">
        <f>'Kustannusarvio|Rakennusselostus'!J68</f>
        <v>0</v>
      </c>
      <c r="J73" s="195">
        <f>'Kustannusarvio|Rakennusselostus'!K68</f>
        <v>0</v>
      </c>
      <c r="K73" s="198">
        <f t="shared" si="1"/>
        <v>0</v>
      </c>
      <c r="L73" s="1"/>
    </row>
    <row r="74" spans="1:12" x14ac:dyDescent="0.35">
      <c r="A74" s="19"/>
      <c r="B74" s="293" t="str">
        <f>SUBSTITUTE(IF('Kustannusarvio|Rakennusselostus'!C69="",'Kustannusarvio|Rakennusselostus'!B69,'Kustannusarvio|Rakennusselostus'!C69),":","")</f>
        <v>Muu rakenne</v>
      </c>
      <c r="C74" s="196">
        <f>'Kustannusarvio|Rakennusselostus'!D69</f>
        <v>0</v>
      </c>
      <c r="D74" s="195">
        <f>'Kustannusarvio|Rakennusselostus'!E69</f>
        <v>0</v>
      </c>
      <c r="E74" s="195">
        <f>'Kustannusarvio|Rakennusselostus'!F69</f>
        <v>0</v>
      </c>
      <c r="F74" s="195">
        <f>'Kustannusarvio|Rakennusselostus'!G69</f>
        <v>0</v>
      </c>
      <c r="G74" s="198">
        <f t="shared" si="0"/>
        <v>0</v>
      </c>
      <c r="H74" s="195">
        <f>'Kustannusarvio|Rakennusselostus'!I69</f>
        <v>0</v>
      </c>
      <c r="I74" s="195">
        <f>'Kustannusarvio|Rakennusselostus'!J69</f>
        <v>0</v>
      </c>
      <c r="J74" s="195">
        <f>'Kustannusarvio|Rakennusselostus'!K69</f>
        <v>0</v>
      </c>
      <c r="K74" s="198">
        <f t="shared" si="1"/>
        <v>0</v>
      </c>
      <c r="L74" s="1"/>
    </row>
    <row r="75" spans="1:12" x14ac:dyDescent="0.35">
      <c r="A75" s="19"/>
      <c r="B75" s="293" t="str">
        <f>SUBSTITUTE(IF('Kustannusarvio|Rakennusselostus'!C70="",'Kustannusarvio|Rakennusselostus'!B70,'Kustannusarvio|Rakennusselostus'!C70),":","")</f>
        <v>Muu rakenne</v>
      </c>
      <c r="C75" s="196">
        <f>'Kustannusarvio|Rakennusselostus'!D70</f>
        <v>0</v>
      </c>
      <c r="D75" s="195">
        <f>'Kustannusarvio|Rakennusselostus'!E70</f>
        <v>0</v>
      </c>
      <c r="E75" s="195">
        <f>'Kustannusarvio|Rakennusselostus'!F70</f>
        <v>0</v>
      </c>
      <c r="F75" s="195">
        <f>'Kustannusarvio|Rakennusselostus'!G70</f>
        <v>0</v>
      </c>
      <c r="G75" s="198">
        <f t="shared" si="0"/>
        <v>0</v>
      </c>
      <c r="H75" s="195">
        <f>'Kustannusarvio|Rakennusselostus'!I70</f>
        <v>0</v>
      </c>
      <c r="I75" s="195">
        <f>'Kustannusarvio|Rakennusselostus'!J70</f>
        <v>0</v>
      </c>
      <c r="J75" s="195">
        <f>'Kustannusarvio|Rakennusselostus'!K70</f>
        <v>0</v>
      </c>
      <c r="K75" s="198">
        <f t="shared" si="1"/>
        <v>0</v>
      </c>
      <c r="L75" s="1"/>
    </row>
    <row r="76" spans="1:12" x14ac:dyDescent="0.35">
      <c r="A76" s="19"/>
      <c r="B76" s="293" t="str">
        <f>SUBSTITUTE(IF('Kustannusarvio|Rakennusselostus'!C71="",'Kustannusarvio|Rakennusselostus'!B71,'Kustannusarvio|Rakennusselostus'!C71),":","")</f>
        <v>Muu rakenne</v>
      </c>
      <c r="C76" s="196">
        <f>'Kustannusarvio|Rakennusselostus'!D71</f>
        <v>0</v>
      </c>
      <c r="D76" s="195">
        <f>'Kustannusarvio|Rakennusselostus'!E71</f>
        <v>0</v>
      </c>
      <c r="E76" s="195">
        <f>'Kustannusarvio|Rakennusselostus'!F71</f>
        <v>0</v>
      </c>
      <c r="F76" s="195">
        <f>'Kustannusarvio|Rakennusselostus'!G71</f>
        <v>0</v>
      </c>
      <c r="G76" s="198">
        <f t="shared" si="0"/>
        <v>0</v>
      </c>
      <c r="H76" s="195">
        <f>'Kustannusarvio|Rakennusselostus'!I71</f>
        <v>0</v>
      </c>
      <c r="I76" s="195">
        <f>'Kustannusarvio|Rakennusselostus'!J71</f>
        <v>0</v>
      </c>
      <c r="J76" s="195">
        <f>'Kustannusarvio|Rakennusselostus'!K71</f>
        <v>0</v>
      </c>
      <c r="K76" s="198">
        <f t="shared" si="1"/>
        <v>0</v>
      </c>
      <c r="L76" s="1"/>
    </row>
    <row r="77" spans="1:12" x14ac:dyDescent="0.35">
      <c r="A77" s="19"/>
      <c r="B77" s="293" t="str">
        <f>SUBSTITUTE(IF('Kustannusarvio|Rakennusselostus'!C72="",'Kustannusarvio|Rakennusselostus'!B72,'Kustannusarvio|Rakennusselostus'!C72),":","")</f>
        <v>Muu rakenne</v>
      </c>
      <c r="C77" s="196">
        <f>'Kustannusarvio|Rakennusselostus'!D72</f>
        <v>0</v>
      </c>
      <c r="D77" s="200">
        <f>'Kustannusarvio|Rakennusselostus'!E72</f>
        <v>0</v>
      </c>
      <c r="E77" s="200">
        <f>'Kustannusarvio|Rakennusselostus'!F72</f>
        <v>0</v>
      </c>
      <c r="F77" s="200">
        <f>'Kustannusarvio|Rakennusselostus'!G72</f>
        <v>0</v>
      </c>
      <c r="G77" s="198">
        <f t="shared" ref="G77:G139" si="2">F77*D77</f>
        <v>0</v>
      </c>
      <c r="H77" s="195">
        <f>'Kustannusarvio|Rakennusselostus'!I72</f>
        <v>0</v>
      </c>
      <c r="I77" s="195">
        <f>'Kustannusarvio|Rakennusselostus'!J72</f>
        <v>0</v>
      </c>
      <c r="J77" s="195">
        <f>'Kustannusarvio|Rakennusselostus'!K72</f>
        <v>0</v>
      </c>
      <c r="K77" s="198">
        <f t="shared" ref="K77:K139" si="3">G77+H77+I77*J77</f>
        <v>0</v>
      </c>
      <c r="L77" s="1"/>
    </row>
    <row r="78" spans="1:12" x14ac:dyDescent="0.35">
      <c r="A78" s="32" t="s">
        <v>88</v>
      </c>
      <c r="B78" s="301"/>
      <c r="C78" s="276"/>
      <c r="D78" s="127"/>
      <c r="E78" s="127"/>
      <c r="F78" s="127"/>
      <c r="G78" s="274"/>
      <c r="H78" s="127"/>
      <c r="I78" s="127"/>
      <c r="J78" s="127"/>
      <c r="K78" s="251"/>
      <c r="L78" s="1"/>
    </row>
    <row r="79" spans="1:12" x14ac:dyDescent="0.35">
      <c r="A79" s="19"/>
      <c r="B79" s="291" t="s">
        <v>89</v>
      </c>
      <c r="C79" s="196">
        <f>'Kustannusarvio|Rakennusselostus'!D74</f>
        <v>0</v>
      </c>
      <c r="D79" s="195">
        <f>'Kustannusarvio|Rakennusselostus'!E74</f>
        <v>0</v>
      </c>
      <c r="E79" s="195">
        <f>'Kustannusarvio|Rakennusselostus'!F74</f>
        <v>0</v>
      </c>
      <c r="F79" s="195">
        <f>'Kustannusarvio|Rakennusselostus'!G74</f>
        <v>0</v>
      </c>
      <c r="G79" s="198">
        <f t="shared" si="2"/>
        <v>0</v>
      </c>
      <c r="H79" s="195">
        <f>'Kustannusarvio|Rakennusselostus'!I74</f>
        <v>0</v>
      </c>
      <c r="I79" s="195">
        <f>'Kustannusarvio|Rakennusselostus'!J74</f>
        <v>0</v>
      </c>
      <c r="J79" s="195">
        <f>'Kustannusarvio|Rakennusselostus'!K74</f>
        <v>0</v>
      </c>
      <c r="K79" s="198">
        <f t="shared" si="3"/>
        <v>0</v>
      </c>
      <c r="L79" s="1"/>
    </row>
    <row r="80" spans="1:12" x14ac:dyDescent="0.35">
      <c r="A80" s="19"/>
      <c r="B80" s="291" t="s">
        <v>90</v>
      </c>
      <c r="C80" s="196">
        <f>'Kustannusarvio|Rakennusselostus'!D75</f>
        <v>0</v>
      </c>
      <c r="D80" s="195">
        <f>'Kustannusarvio|Rakennusselostus'!E75</f>
        <v>0</v>
      </c>
      <c r="E80" s="195">
        <f>'Kustannusarvio|Rakennusselostus'!F75</f>
        <v>0</v>
      </c>
      <c r="F80" s="195">
        <f>'Kustannusarvio|Rakennusselostus'!G75</f>
        <v>0</v>
      </c>
      <c r="G80" s="198">
        <f t="shared" si="2"/>
        <v>0</v>
      </c>
      <c r="H80" s="195">
        <f>'Kustannusarvio|Rakennusselostus'!I75</f>
        <v>0</v>
      </c>
      <c r="I80" s="195">
        <f>'Kustannusarvio|Rakennusselostus'!J75</f>
        <v>0</v>
      </c>
      <c r="J80" s="195">
        <f>'Kustannusarvio|Rakennusselostus'!K75</f>
        <v>0</v>
      </c>
      <c r="K80" s="198">
        <f t="shared" si="3"/>
        <v>0</v>
      </c>
      <c r="L80" s="1"/>
    </row>
    <row r="81" spans="1:12" x14ac:dyDescent="0.35">
      <c r="A81" s="19"/>
      <c r="B81" s="291" t="s">
        <v>91</v>
      </c>
      <c r="C81" s="196">
        <f>'Kustannusarvio|Rakennusselostus'!D76</f>
        <v>0</v>
      </c>
      <c r="D81" s="195">
        <f>'Kustannusarvio|Rakennusselostus'!E76</f>
        <v>0</v>
      </c>
      <c r="E81" s="195">
        <f>'Kustannusarvio|Rakennusselostus'!F76</f>
        <v>0</v>
      </c>
      <c r="F81" s="195">
        <f>'Kustannusarvio|Rakennusselostus'!G76</f>
        <v>0</v>
      </c>
      <c r="G81" s="198">
        <f t="shared" si="2"/>
        <v>0</v>
      </c>
      <c r="H81" s="195">
        <f>'Kustannusarvio|Rakennusselostus'!I76</f>
        <v>0</v>
      </c>
      <c r="I81" s="195">
        <f>'Kustannusarvio|Rakennusselostus'!J76</f>
        <v>0</v>
      </c>
      <c r="J81" s="195">
        <f>'Kustannusarvio|Rakennusselostus'!K76</f>
        <v>0</v>
      </c>
      <c r="K81" s="198">
        <f t="shared" si="3"/>
        <v>0</v>
      </c>
      <c r="L81" s="1"/>
    </row>
    <row r="82" spans="1:12" x14ac:dyDescent="0.35">
      <c r="A82" s="19"/>
      <c r="B82" s="291" t="s">
        <v>92</v>
      </c>
      <c r="C82" s="196">
        <f>'Kustannusarvio|Rakennusselostus'!D77</f>
        <v>0</v>
      </c>
      <c r="D82" s="195">
        <f>'Kustannusarvio|Rakennusselostus'!E77</f>
        <v>0</v>
      </c>
      <c r="E82" s="195">
        <f>'Kustannusarvio|Rakennusselostus'!F77</f>
        <v>0</v>
      </c>
      <c r="F82" s="195">
        <f>'Kustannusarvio|Rakennusselostus'!G77</f>
        <v>0</v>
      </c>
      <c r="G82" s="198">
        <f t="shared" si="2"/>
        <v>0</v>
      </c>
      <c r="H82" s="195">
        <f>'Kustannusarvio|Rakennusselostus'!I77</f>
        <v>0</v>
      </c>
      <c r="I82" s="195">
        <f>'Kustannusarvio|Rakennusselostus'!J77</f>
        <v>0</v>
      </c>
      <c r="J82" s="195">
        <f>'Kustannusarvio|Rakennusselostus'!K77</f>
        <v>0</v>
      </c>
      <c r="K82" s="198">
        <f t="shared" si="3"/>
        <v>0</v>
      </c>
      <c r="L82" s="1"/>
    </row>
    <row r="83" spans="1:12" x14ac:dyDescent="0.35">
      <c r="A83" s="19"/>
      <c r="B83" s="293" t="str">
        <f>SUBSTITUTE(IF('Kustannusarvio|Rakennusselostus'!C78="",'Kustannusarvio|Rakennusselostus'!B78,'Kustannusarvio|Rakennusselostus'!C78),":","")</f>
        <v>Muut vesikattorakenteet</v>
      </c>
      <c r="C83" s="196">
        <f>'Kustannusarvio|Rakennusselostus'!D78</f>
        <v>0</v>
      </c>
      <c r="D83" s="195">
        <f>'Kustannusarvio|Rakennusselostus'!E78</f>
        <v>0</v>
      </c>
      <c r="E83" s="195">
        <f>'Kustannusarvio|Rakennusselostus'!F78</f>
        <v>0</v>
      </c>
      <c r="F83" s="195">
        <f>'Kustannusarvio|Rakennusselostus'!G78</f>
        <v>0</v>
      </c>
      <c r="G83" s="198">
        <f t="shared" si="2"/>
        <v>0</v>
      </c>
      <c r="H83" s="195">
        <f>'Kustannusarvio|Rakennusselostus'!I78</f>
        <v>0</v>
      </c>
      <c r="I83" s="195">
        <f>'Kustannusarvio|Rakennusselostus'!J78</f>
        <v>0</v>
      </c>
      <c r="J83" s="195">
        <f>'Kustannusarvio|Rakennusselostus'!K78</f>
        <v>0</v>
      </c>
      <c r="K83" s="198">
        <f t="shared" si="3"/>
        <v>0</v>
      </c>
      <c r="L83" s="1"/>
    </row>
    <row r="84" spans="1:12" x14ac:dyDescent="0.35">
      <c r="A84" s="19"/>
      <c r="B84" s="293" t="str">
        <f>SUBSTITUTE(IF('Kustannusarvio|Rakennusselostus'!C79="",'Kustannusarvio|Rakennusselostus'!B79,'Kustannusarvio|Rakennusselostus'!C79),":","")</f>
        <v>Muut vesikattorakenteet</v>
      </c>
      <c r="C84" s="196">
        <f>'Kustannusarvio|Rakennusselostus'!D79</f>
        <v>0</v>
      </c>
      <c r="D84" s="195">
        <f>'Kustannusarvio|Rakennusselostus'!E79</f>
        <v>0</v>
      </c>
      <c r="E84" s="195">
        <f>'Kustannusarvio|Rakennusselostus'!F79</f>
        <v>0</v>
      </c>
      <c r="F84" s="195">
        <f>'Kustannusarvio|Rakennusselostus'!G79</f>
        <v>0</v>
      </c>
      <c r="G84" s="198">
        <f t="shared" si="2"/>
        <v>0</v>
      </c>
      <c r="H84" s="195">
        <f>'Kustannusarvio|Rakennusselostus'!I79</f>
        <v>0</v>
      </c>
      <c r="I84" s="195">
        <f>'Kustannusarvio|Rakennusselostus'!J79</f>
        <v>0</v>
      </c>
      <c r="J84" s="195">
        <f>'Kustannusarvio|Rakennusselostus'!K79</f>
        <v>0</v>
      </c>
      <c r="K84" s="198">
        <f t="shared" si="3"/>
        <v>0</v>
      </c>
      <c r="L84" s="1"/>
    </row>
    <row r="85" spans="1:12" x14ac:dyDescent="0.35">
      <c r="A85" s="28" t="s">
        <v>93</v>
      </c>
      <c r="B85" s="297"/>
      <c r="C85" s="275"/>
      <c r="D85" s="57"/>
      <c r="E85" s="57"/>
      <c r="F85" s="57"/>
      <c r="G85" s="273"/>
      <c r="H85" s="57"/>
      <c r="I85" s="57"/>
      <c r="J85" s="57"/>
      <c r="K85" s="250"/>
      <c r="L85" s="1"/>
    </row>
    <row r="86" spans="1:12" x14ac:dyDescent="0.35">
      <c r="A86" s="19"/>
      <c r="B86" s="291" t="s">
        <v>94</v>
      </c>
      <c r="C86" s="196">
        <f>'Kustannusarvio|Rakennusselostus'!D81</f>
        <v>0</v>
      </c>
      <c r="D86" s="195">
        <f>'Kustannusarvio|Rakennusselostus'!E81</f>
        <v>0</v>
      </c>
      <c r="E86" s="195">
        <f>'Kustannusarvio|Rakennusselostus'!F81</f>
        <v>0</v>
      </c>
      <c r="F86" s="195">
        <f>'Kustannusarvio|Rakennusselostus'!G81</f>
        <v>0</v>
      </c>
      <c r="G86" s="198">
        <f t="shared" si="2"/>
        <v>0</v>
      </c>
      <c r="H86" s="195">
        <f>'Kustannusarvio|Rakennusselostus'!I81</f>
        <v>0</v>
      </c>
      <c r="I86" s="195">
        <f>'Kustannusarvio|Rakennusselostus'!J81</f>
        <v>0</v>
      </c>
      <c r="J86" s="195">
        <f>'Kustannusarvio|Rakennusselostus'!K81</f>
        <v>0</v>
      </c>
      <c r="K86" s="198">
        <f t="shared" si="3"/>
        <v>0</v>
      </c>
      <c r="L86" s="1"/>
    </row>
    <row r="87" spans="1:12" x14ac:dyDescent="0.35">
      <c r="A87" s="19"/>
      <c r="B87" s="291" t="s">
        <v>43</v>
      </c>
      <c r="C87" s="196">
        <f>'Kustannusarvio|Rakennusselostus'!D82</f>
        <v>0</v>
      </c>
      <c r="D87" s="195">
        <f>'Kustannusarvio|Rakennusselostus'!E82</f>
        <v>0</v>
      </c>
      <c r="E87" s="195">
        <f>'Kustannusarvio|Rakennusselostus'!F82</f>
        <v>0</v>
      </c>
      <c r="F87" s="195">
        <f>'Kustannusarvio|Rakennusselostus'!G82</f>
        <v>0</v>
      </c>
      <c r="G87" s="198">
        <f t="shared" si="2"/>
        <v>0</v>
      </c>
      <c r="H87" s="195">
        <f>'Kustannusarvio|Rakennusselostus'!I82</f>
        <v>0</v>
      </c>
      <c r="I87" s="195">
        <f>'Kustannusarvio|Rakennusselostus'!J82</f>
        <v>0</v>
      </c>
      <c r="J87" s="195">
        <f>'Kustannusarvio|Rakennusselostus'!K82</f>
        <v>0</v>
      </c>
      <c r="K87" s="198">
        <f t="shared" si="3"/>
        <v>0</v>
      </c>
      <c r="L87" s="1"/>
    </row>
    <row r="88" spans="1:12" x14ac:dyDescent="0.35">
      <c r="A88" s="19"/>
      <c r="B88" s="291" t="s">
        <v>95</v>
      </c>
      <c r="C88" s="196">
        <f>'Kustannusarvio|Rakennusselostus'!D83</f>
        <v>0</v>
      </c>
      <c r="D88" s="195">
        <f>'Kustannusarvio|Rakennusselostus'!E83</f>
        <v>0</v>
      </c>
      <c r="E88" s="195">
        <f>'Kustannusarvio|Rakennusselostus'!F83</f>
        <v>0</v>
      </c>
      <c r="F88" s="195">
        <f>'Kustannusarvio|Rakennusselostus'!G83</f>
        <v>0</v>
      </c>
      <c r="G88" s="198">
        <f t="shared" si="2"/>
        <v>0</v>
      </c>
      <c r="H88" s="195">
        <f>'Kustannusarvio|Rakennusselostus'!I83</f>
        <v>0</v>
      </c>
      <c r="I88" s="195">
        <f>'Kustannusarvio|Rakennusselostus'!J83</f>
        <v>0</v>
      </c>
      <c r="J88" s="195">
        <f>'Kustannusarvio|Rakennusselostus'!K83</f>
        <v>0</v>
      </c>
      <c r="K88" s="198">
        <f t="shared" si="3"/>
        <v>0</v>
      </c>
      <c r="L88" s="1"/>
    </row>
    <row r="89" spans="1:12" x14ac:dyDescent="0.35">
      <c r="A89" s="19"/>
      <c r="B89" s="291" t="s">
        <v>96</v>
      </c>
      <c r="C89" s="196">
        <f>'Kustannusarvio|Rakennusselostus'!D84</f>
        <v>0</v>
      </c>
      <c r="D89" s="195">
        <f>'Kustannusarvio|Rakennusselostus'!E84</f>
        <v>0</v>
      </c>
      <c r="E89" s="195">
        <f>'Kustannusarvio|Rakennusselostus'!F84</f>
        <v>0</v>
      </c>
      <c r="F89" s="195">
        <f>'Kustannusarvio|Rakennusselostus'!G84</f>
        <v>0</v>
      </c>
      <c r="G89" s="198">
        <f t="shared" si="2"/>
        <v>0</v>
      </c>
      <c r="H89" s="195">
        <f>'Kustannusarvio|Rakennusselostus'!I84</f>
        <v>0</v>
      </c>
      <c r="I89" s="195">
        <f>'Kustannusarvio|Rakennusselostus'!J84</f>
        <v>0</v>
      </c>
      <c r="J89" s="195">
        <f>'Kustannusarvio|Rakennusselostus'!K84</f>
        <v>0</v>
      </c>
      <c r="K89" s="198">
        <f t="shared" si="3"/>
        <v>0</v>
      </c>
      <c r="L89" s="1"/>
    </row>
    <row r="90" spans="1:12" x14ac:dyDescent="0.35">
      <c r="A90" s="19"/>
      <c r="B90" s="291" t="s">
        <v>140</v>
      </c>
      <c r="C90" s="196">
        <f>'Kustannusarvio|Rakennusselostus'!D85</f>
        <v>0</v>
      </c>
      <c r="D90" s="195">
        <f>'Kustannusarvio|Rakennusselostus'!E85</f>
        <v>0</v>
      </c>
      <c r="E90" s="195">
        <f>'Kustannusarvio|Rakennusselostus'!F85</f>
        <v>0</v>
      </c>
      <c r="F90" s="195">
        <f>'Kustannusarvio|Rakennusselostus'!G85</f>
        <v>0</v>
      </c>
      <c r="G90" s="198">
        <f t="shared" si="2"/>
        <v>0</v>
      </c>
      <c r="H90" s="195">
        <f>'Kustannusarvio|Rakennusselostus'!I85</f>
        <v>0</v>
      </c>
      <c r="I90" s="195">
        <f>'Kustannusarvio|Rakennusselostus'!J85</f>
        <v>0</v>
      </c>
      <c r="J90" s="195">
        <f>'Kustannusarvio|Rakennusselostus'!K85</f>
        <v>0</v>
      </c>
      <c r="K90" s="198">
        <f t="shared" si="3"/>
        <v>0</v>
      </c>
      <c r="L90" s="1"/>
    </row>
    <row r="91" spans="1:12" x14ac:dyDescent="0.35">
      <c r="A91" s="19"/>
      <c r="B91" s="293" t="str">
        <f>SUBSTITUTE(IF('Kustannusarvio|Rakennusselostus'!C86="",'Kustannusarvio|Rakennusselostus'!B86,'Kustannusarvio|Rakennusselostus'!C86),":","")</f>
        <v>Muu rakennusosa</v>
      </c>
      <c r="C91" s="196">
        <f>'Kustannusarvio|Rakennusselostus'!D86</f>
        <v>0</v>
      </c>
      <c r="D91" s="195">
        <f>'Kustannusarvio|Rakennusselostus'!E86</f>
        <v>0</v>
      </c>
      <c r="E91" s="195">
        <f>'Kustannusarvio|Rakennusselostus'!F86</f>
        <v>0</v>
      </c>
      <c r="F91" s="195">
        <f>'Kustannusarvio|Rakennusselostus'!G86</f>
        <v>0</v>
      </c>
      <c r="G91" s="198">
        <f t="shared" si="2"/>
        <v>0</v>
      </c>
      <c r="H91" s="195">
        <f>'Kustannusarvio|Rakennusselostus'!I86</f>
        <v>0</v>
      </c>
      <c r="I91" s="195">
        <f>'Kustannusarvio|Rakennusselostus'!J86</f>
        <v>0</v>
      </c>
      <c r="J91" s="195">
        <f>'Kustannusarvio|Rakennusselostus'!K86</f>
        <v>0</v>
      </c>
      <c r="K91" s="198">
        <f t="shared" si="3"/>
        <v>0</v>
      </c>
      <c r="L91" s="1"/>
    </row>
    <row r="92" spans="1:12" x14ac:dyDescent="0.35">
      <c r="A92" s="19"/>
      <c r="B92" s="293" t="str">
        <f>SUBSTITUTE(IF('Kustannusarvio|Rakennusselostus'!C87="",'Kustannusarvio|Rakennusselostus'!B87,'Kustannusarvio|Rakennusselostus'!C87),":","")</f>
        <v>Muu rakennusosa</v>
      </c>
      <c r="C92" s="196">
        <f>'Kustannusarvio|Rakennusselostus'!D87</f>
        <v>0</v>
      </c>
      <c r="D92" s="195">
        <f>'Kustannusarvio|Rakennusselostus'!E87</f>
        <v>0</v>
      </c>
      <c r="E92" s="195">
        <f>'Kustannusarvio|Rakennusselostus'!F87</f>
        <v>0</v>
      </c>
      <c r="F92" s="195">
        <f>'Kustannusarvio|Rakennusselostus'!G87</f>
        <v>0</v>
      </c>
      <c r="G92" s="198">
        <f t="shared" si="2"/>
        <v>0</v>
      </c>
      <c r="H92" s="195">
        <f>'Kustannusarvio|Rakennusselostus'!I87</f>
        <v>0</v>
      </c>
      <c r="I92" s="195">
        <f>'Kustannusarvio|Rakennusselostus'!J87</f>
        <v>0</v>
      </c>
      <c r="J92" s="195">
        <f>'Kustannusarvio|Rakennusselostus'!K87</f>
        <v>0</v>
      </c>
      <c r="K92" s="198">
        <f t="shared" si="3"/>
        <v>0</v>
      </c>
      <c r="L92" s="1"/>
    </row>
    <row r="93" spans="1:12" x14ac:dyDescent="0.35">
      <c r="A93" s="28" t="s">
        <v>97</v>
      </c>
      <c r="B93" s="297"/>
      <c r="C93" s="275"/>
      <c r="D93" s="57"/>
      <c r="E93" s="57"/>
      <c r="F93" s="57"/>
      <c r="G93" s="273"/>
      <c r="H93" s="57"/>
      <c r="I93" s="57"/>
      <c r="J93" s="57"/>
      <c r="K93" s="250"/>
      <c r="L93" s="1"/>
    </row>
    <row r="94" spans="1:12" x14ac:dyDescent="0.35">
      <c r="A94" s="19"/>
      <c r="B94" s="291" t="s">
        <v>100</v>
      </c>
      <c r="C94" s="196">
        <f>'Kustannusarvio|Rakennusselostus'!D89</f>
        <v>0</v>
      </c>
      <c r="D94" s="195">
        <f>'Kustannusarvio|Rakennusselostus'!E89</f>
        <v>0</v>
      </c>
      <c r="E94" s="195">
        <f>'Kustannusarvio|Rakennusselostus'!F89</f>
        <v>0</v>
      </c>
      <c r="F94" s="195">
        <f>'Kustannusarvio|Rakennusselostus'!G89</f>
        <v>0</v>
      </c>
      <c r="G94" s="198">
        <f t="shared" si="2"/>
        <v>0</v>
      </c>
      <c r="H94" s="195">
        <f>'Kustannusarvio|Rakennusselostus'!I89</f>
        <v>0</v>
      </c>
      <c r="I94" s="195">
        <f>'Kustannusarvio|Rakennusselostus'!J89</f>
        <v>0</v>
      </c>
      <c r="J94" s="195">
        <f>'Kustannusarvio|Rakennusselostus'!K89</f>
        <v>0</v>
      </c>
      <c r="K94" s="198">
        <f t="shared" si="3"/>
        <v>0</v>
      </c>
      <c r="L94" s="1"/>
    </row>
    <row r="95" spans="1:12" x14ac:dyDescent="0.35">
      <c r="A95" s="19"/>
      <c r="B95" s="291" t="s">
        <v>99</v>
      </c>
      <c r="C95" s="196">
        <f>'Kustannusarvio|Rakennusselostus'!D90</f>
        <v>0</v>
      </c>
      <c r="D95" s="195">
        <f>'Kustannusarvio|Rakennusselostus'!E90</f>
        <v>0</v>
      </c>
      <c r="E95" s="195">
        <f>'Kustannusarvio|Rakennusselostus'!F90</f>
        <v>0</v>
      </c>
      <c r="F95" s="195">
        <f>'Kustannusarvio|Rakennusselostus'!G90</f>
        <v>0</v>
      </c>
      <c r="G95" s="198">
        <f t="shared" si="2"/>
        <v>0</v>
      </c>
      <c r="H95" s="195">
        <f>'Kustannusarvio|Rakennusselostus'!I90</f>
        <v>0</v>
      </c>
      <c r="I95" s="195">
        <f>'Kustannusarvio|Rakennusselostus'!J90</f>
        <v>0</v>
      </c>
      <c r="J95" s="195">
        <f>'Kustannusarvio|Rakennusselostus'!K90</f>
        <v>0</v>
      </c>
      <c r="K95" s="198">
        <f t="shared" si="3"/>
        <v>0</v>
      </c>
      <c r="L95" s="1"/>
    </row>
    <row r="96" spans="1:12" x14ac:dyDescent="0.35">
      <c r="A96" s="19"/>
      <c r="B96" s="291" t="s">
        <v>101</v>
      </c>
      <c r="C96" s="196">
        <f>'Kustannusarvio|Rakennusselostus'!D91</f>
        <v>0</v>
      </c>
      <c r="D96" s="195">
        <f>'Kustannusarvio|Rakennusselostus'!E91</f>
        <v>0</v>
      </c>
      <c r="E96" s="195">
        <f>'Kustannusarvio|Rakennusselostus'!F91</f>
        <v>0</v>
      </c>
      <c r="F96" s="195">
        <f>'Kustannusarvio|Rakennusselostus'!G91</f>
        <v>0</v>
      </c>
      <c r="G96" s="198">
        <f t="shared" si="2"/>
        <v>0</v>
      </c>
      <c r="H96" s="195">
        <f>'Kustannusarvio|Rakennusselostus'!I91</f>
        <v>0</v>
      </c>
      <c r="I96" s="195">
        <f>'Kustannusarvio|Rakennusselostus'!J91</f>
        <v>0</v>
      </c>
      <c r="J96" s="195">
        <f>'Kustannusarvio|Rakennusselostus'!K91</f>
        <v>0</v>
      </c>
      <c r="K96" s="198">
        <f t="shared" si="3"/>
        <v>0</v>
      </c>
      <c r="L96" s="1"/>
    </row>
    <row r="97" spans="1:12" x14ac:dyDescent="0.35">
      <c r="A97" s="19"/>
      <c r="B97" s="291" t="s">
        <v>141</v>
      </c>
      <c r="C97" s="196">
        <f>'Kustannusarvio|Rakennusselostus'!D92</f>
        <v>0</v>
      </c>
      <c r="D97" s="195">
        <f>'Kustannusarvio|Rakennusselostus'!E92</f>
        <v>0</v>
      </c>
      <c r="E97" s="195">
        <f>'Kustannusarvio|Rakennusselostus'!F92</f>
        <v>0</v>
      </c>
      <c r="F97" s="195">
        <f>'Kustannusarvio|Rakennusselostus'!G92</f>
        <v>0</v>
      </c>
      <c r="G97" s="198">
        <f t="shared" si="2"/>
        <v>0</v>
      </c>
      <c r="H97" s="195">
        <f>'Kustannusarvio|Rakennusselostus'!I92</f>
        <v>0</v>
      </c>
      <c r="I97" s="195">
        <f>'Kustannusarvio|Rakennusselostus'!J92</f>
        <v>0</v>
      </c>
      <c r="J97" s="195">
        <f>'Kustannusarvio|Rakennusselostus'!K92</f>
        <v>0</v>
      </c>
      <c r="K97" s="198">
        <f t="shared" si="3"/>
        <v>0</v>
      </c>
      <c r="L97" s="1"/>
    </row>
    <row r="98" spans="1:12" x14ac:dyDescent="0.35">
      <c r="A98" s="19"/>
      <c r="B98" s="291" t="s">
        <v>102</v>
      </c>
      <c r="C98" s="196">
        <f>'Kustannusarvio|Rakennusselostus'!D93</f>
        <v>0</v>
      </c>
      <c r="D98" s="195">
        <f>'Kustannusarvio|Rakennusselostus'!E93</f>
        <v>0</v>
      </c>
      <c r="E98" s="195">
        <f>'Kustannusarvio|Rakennusselostus'!F93</f>
        <v>0</v>
      </c>
      <c r="F98" s="195">
        <f>'Kustannusarvio|Rakennusselostus'!G93</f>
        <v>0</v>
      </c>
      <c r="G98" s="198">
        <f t="shared" si="2"/>
        <v>0</v>
      </c>
      <c r="H98" s="195">
        <f>'Kustannusarvio|Rakennusselostus'!I93</f>
        <v>0</v>
      </c>
      <c r="I98" s="195">
        <f>'Kustannusarvio|Rakennusselostus'!J93</f>
        <v>0</v>
      </c>
      <c r="J98" s="195">
        <f>'Kustannusarvio|Rakennusselostus'!K93</f>
        <v>0</v>
      </c>
      <c r="K98" s="198">
        <f t="shared" si="3"/>
        <v>0</v>
      </c>
      <c r="L98" s="1"/>
    </row>
    <row r="99" spans="1:12" x14ac:dyDescent="0.35">
      <c r="A99" s="19"/>
      <c r="B99" s="291" t="s">
        <v>142</v>
      </c>
      <c r="C99" s="196">
        <f>'Kustannusarvio|Rakennusselostus'!D94</f>
        <v>0</v>
      </c>
      <c r="D99" s="195">
        <f>'Kustannusarvio|Rakennusselostus'!E94</f>
        <v>0</v>
      </c>
      <c r="E99" s="195">
        <f>'Kustannusarvio|Rakennusselostus'!F94</f>
        <v>0</v>
      </c>
      <c r="F99" s="195">
        <f>'Kustannusarvio|Rakennusselostus'!G94</f>
        <v>0</v>
      </c>
      <c r="G99" s="198">
        <f t="shared" si="2"/>
        <v>0</v>
      </c>
      <c r="H99" s="195">
        <f>'Kustannusarvio|Rakennusselostus'!I94</f>
        <v>0</v>
      </c>
      <c r="I99" s="195">
        <f>'Kustannusarvio|Rakennusselostus'!J94</f>
        <v>0</v>
      </c>
      <c r="J99" s="195">
        <f>'Kustannusarvio|Rakennusselostus'!K94</f>
        <v>0</v>
      </c>
      <c r="K99" s="198">
        <f t="shared" si="3"/>
        <v>0</v>
      </c>
      <c r="L99" s="1"/>
    </row>
    <row r="100" spans="1:12" x14ac:dyDescent="0.35">
      <c r="A100" s="19"/>
      <c r="B100" s="293" t="str">
        <f>SUBSTITUTE(IF('Kustannusarvio|Rakennusselostus'!C95="",'Kustannusarvio|Rakennusselostus'!B95,'Kustannusarvio|Rakennusselostus'!C95),":","")</f>
        <v>Muut tilapinnat</v>
      </c>
      <c r="C100" s="196">
        <f>'Kustannusarvio|Rakennusselostus'!D95</f>
        <v>0</v>
      </c>
      <c r="D100" s="195">
        <f>'Kustannusarvio|Rakennusselostus'!E95</f>
        <v>0</v>
      </c>
      <c r="E100" s="195">
        <f>'Kustannusarvio|Rakennusselostus'!F95</f>
        <v>0</v>
      </c>
      <c r="F100" s="195">
        <f>'Kustannusarvio|Rakennusselostus'!G95</f>
        <v>0</v>
      </c>
      <c r="G100" s="198">
        <f t="shared" si="2"/>
        <v>0</v>
      </c>
      <c r="H100" s="195">
        <f>'Kustannusarvio|Rakennusselostus'!I95</f>
        <v>0</v>
      </c>
      <c r="I100" s="195">
        <f>'Kustannusarvio|Rakennusselostus'!J95</f>
        <v>0</v>
      </c>
      <c r="J100" s="195">
        <f>'Kustannusarvio|Rakennusselostus'!K95</f>
        <v>0</v>
      </c>
      <c r="K100" s="198">
        <f t="shared" si="3"/>
        <v>0</v>
      </c>
      <c r="L100" s="1"/>
    </row>
    <row r="101" spans="1:12" x14ac:dyDescent="0.35">
      <c r="A101" s="28" t="s">
        <v>103</v>
      </c>
      <c r="B101" s="297"/>
      <c r="C101" s="275"/>
      <c r="D101" s="57"/>
      <c r="E101" s="57"/>
      <c r="F101" s="57"/>
      <c r="G101" s="273"/>
      <c r="H101" s="57"/>
      <c r="I101" s="57"/>
      <c r="J101" s="57"/>
      <c r="K101" s="250"/>
      <c r="L101" s="1"/>
    </row>
    <row r="102" spans="1:12" x14ac:dyDescent="0.35">
      <c r="A102" s="19"/>
      <c r="B102" s="291" t="s">
        <v>104</v>
      </c>
      <c r="C102" s="196">
        <f>'Kustannusarvio|Rakennusselostus'!D97</f>
        <v>0</v>
      </c>
      <c r="D102" s="195">
        <f>'Kustannusarvio|Rakennusselostus'!E97</f>
        <v>0</v>
      </c>
      <c r="E102" s="195">
        <f>'Kustannusarvio|Rakennusselostus'!F97</f>
        <v>0</v>
      </c>
      <c r="F102" s="195">
        <f>'Kustannusarvio|Rakennusselostus'!G97</f>
        <v>0</v>
      </c>
      <c r="G102" s="198">
        <f t="shared" si="2"/>
        <v>0</v>
      </c>
      <c r="H102" s="195">
        <f>'Kustannusarvio|Rakennusselostus'!I97</f>
        <v>0</v>
      </c>
      <c r="I102" s="195">
        <f>'Kustannusarvio|Rakennusselostus'!J97</f>
        <v>0</v>
      </c>
      <c r="J102" s="195">
        <f>'Kustannusarvio|Rakennusselostus'!K97</f>
        <v>0</v>
      </c>
      <c r="K102" s="198">
        <f t="shared" si="3"/>
        <v>0</v>
      </c>
      <c r="L102" s="1"/>
    </row>
    <row r="103" spans="1:12" x14ac:dyDescent="0.35">
      <c r="A103" s="19"/>
      <c r="B103" s="291" t="s">
        <v>105</v>
      </c>
      <c r="C103" s="196">
        <f>'Kustannusarvio|Rakennusselostus'!D98</f>
        <v>0</v>
      </c>
      <c r="D103" s="195">
        <f>'Kustannusarvio|Rakennusselostus'!E98</f>
        <v>0</v>
      </c>
      <c r="E103" s="195">
        <f>'Kustannusarvio|Rakennusselostus'!F98</f>
        <v>0</v>
      </c>
      <c r="F103" s="195">
        <f>'Kustannusarvio|Rakennusselostus'!G98</f>
        <v>0</v>
      </c>
      <c r="G103" s="198">
        <f t="shared" si="2"/>
        <v>0</v>
      </c>
      <c r="H103" s="195">
        <f>'Kustannusarvio|Rakennusselostus'!I98</f>
        <v>0</v>
      </c>
      <c r="I103" s="195">
        <f>'Kustannusarvio|Rakennusselostus'!J98</f>
        <v>0</v>
      </c>
      <c r="J103" s="195">
        <f>'Kustannusarvio|Rakennusselostus'!K98</f>
        <v>0</v>
      </c>
      <c r="K103" s="198">
        <f t="shared" si="3"/>
        <v>0</v>
      </c>
      <c r="L103" s="1"/>
    </row>
    <row r="104" spans="1:12" x14ac:dyDescent="0.35">
      <c r="A104" s="19"/>
      <c r="B104" s="291" t="s">
        <v>106</v>
      </c>
      <c r="C104" s="196">
        <f>'Kustannusarvio|Rakennusselostus'!D99</f>
        <v>0</v>
      </c>
      <c r="D104" s="195">
        <f>'Kustannusarvio|Rakennusselostus'!E99</f>
        <v>0</v>
      </c>
      <c r="E104" s="195">
        <f>'Kustannusarvio|Rakennusselostus'!F99</f>
        <v>0</v>
      </c>
      <c r="F104" s="195">
        <f>'Kustannusarvio|Rakennusselostus'!G99</f>
        <v>0</v>
      </c>
      <c r="G104" s="198">
        <f t="shared" si="2"/>
        <v>0</v>
      </c>
      <c r="H104" s="195">
        <f>'Kustannusarvio|Rakennusselostus'!I99</f>
        <v>0</v>
      </c>
      <c r="I104" s="195">
        <f>'Kustannusarvio|Rakennusselostus'!J99</f>
        <v>0</v>
      </c>
      <c r="J104" s="195">
        <f>'Kustannusarvio|Rakennusselostus'!K99</f>
        <v>0</v>
      </c>
      <c r="K104" s="198">
        <f t="shared" si="3"/>
        <v>0</v>
      </c>
      <c r="L104" s="1"/>
    </row>
    <row r="105" spans="1:12" x14ac:dyDescent="0.35">
      <c r="A105" s="19"/>
      <c r="B105" s="291" t="s">
        <v>108</v>
      </c>
      <c r="C105" s="196">
        <f>'Kustannusarvio|Rakennusselostus'!D100</f>
        <v>0</v>
      </c>
      <c r="D105" s="195">
        <f>'Kustannusarvio|Rakennusselostus'!E100</f>
        <v>0</v>
      </c>
      <c r="E105" s="195">
        <f>'Kustannusarvio|Rakennusselostus'!F100</f>
        <v>0</v>
      </c>
      <c r="F105" s="195">
        <f>'Kustannusarvio|Rakennusselostus'!G100</f>
        <v>0</v>
      </c>
      <c r="G105" s="198">
        <f t="shared" si="2"/>
        <v>0</v>
      </c>
      <c r="H105" s="195">
        <f>'Kustannusarvio|Rakennusselostus'!I100</f>
        <v>0</v>
      </c>
      <c r="I105" s="195">
        <f>'Kustannusarvio|Rakennusselostus'!J100</f>
        <v>0</v>
      </c>
      <c r="J105" s="195">
        <f>'Kustannusarvio|Rakennusselostus'!K100</f>
        <v>0</v>
      </c>
      <c r="K105" s="198">
        <f t="shared" si="3"/>
        <v>0</v>
      </c>
      <c r="L105" s="1"/>
    </row>
    <row r="106" spans="1:12" x14ac:dyDescent="0.35">
      <c r="A106" s="19"/>
      <c r="B106" s="291" t="s">
        <v>107</v>
      </c>
      <c r="C106" s="196">
        <f>'Kustannusarvio|Rakennusselostus'!D101</f>
        <v>0</v>
      </c>
      <c r="D106" s="195">
        <f>'Kustannusarvio|Rakennusselostus'!E101</f>
        <v>0</v>
      </c>
      <c r="E106" s="195">
        <f>'Kustannusarvio|Rakennusselostus'!F101</f>
        <v>0</v>
      </c>
      <c r="F106" s="195">
        <f>'Kustannusarvio|Rakennusselostus'!G101</f>
        <v>0</v>
      </c>
      <c r="G106" s="198">
        <f t="shared" si="2"/>
        <v>0</v>
      </c>
      <c r="H106" s="195">
        <f>'Kustannusarvio|Rakennusselostus'!I101</f>
        <v>0</v>
      </c>
      <c r="I106" s="195">
        <f>'Kustannusarvio|Rakennusselostus'!J101</f>
        <v>0</v>
      </c>
      <c r="J106" s="195">
        <f>'Kustannusarvio|Rakennusselostus'!K101</f>
        <v>0</v>
      </c>
      <c r="K106" s="198">
        <f t="shared" si="3"/>
        <v>0</v>
      </c>
      <c r="L106" s="1"/>
    </row>
    <row r="107" spans="1:12" x14ac:dyDescent="0.35">
      <c r="A107" s="19"/>
      <c r="B107" s="291" t="s">
        <v>143</v>
      </c>
      <c r="C107" s="196">
        <f>'Kustannusarvio|Rakennusselostus'!D102</f>
        <v>0</v>
      </c>
      <c r="D107" s="195">
        <f>'Kustannusarvio|Rakennusselostus'!E102</f>
        <v>0</v>
      </c>
      <c r="E107" s="195">
        <f>'Kustannusarvio|Rakennusselostus'!F102</f>
        <v>0</v>
      </c>
      <c r="F107" s="195">
        <f>'Kustannusarvio|Rakennusselostus'!G102</f>
        <v>0</v>
      </c>
      <c r="G107" s="198">
        <f t="shared" si="2"/>
        <v>0</v>
      </c>
      <c r="H107" s="195">
        <f>'Kustannusarvio|Rakennusselostus'!I102</f>
        <v>0</v>
      </c>
      <c r="I107" s="195">
        <f>'Kustannusarvio|Rakennusselostus'!J102</f>
        <v>0</v>
      </c>
      <c r="J107" s="195">
        <f>'Kustannusarvio|Rakennusselostus'!K102</f>
        <v>0</v>
      </c>
      <c r="K107" s="198">
        <f t="shared" si="3"/>
        <v>0</v>
      </c>
      <c r="L107" s="1"/>
    </row>
    <row r="108" spans="1:12" x14ac:dyDescent="0.35">
      <c r="A108" s="19"/>
      <c r="B108" s="291" t="s">
        <v>109</v>
      </c>
      <c r="C108" s="196">
        <f>'Kustannusarvio|Rakennusselostus'!D103</f>
        <v>0</v>
      </c>
      <c r="D108" s="195">
        <f>'Kustannusarvio|Rakennusselostus'!E103</f>
        <v>0</v>
      </c>
      <c r="E108" s="195">
        <f>'Kustannusarvio|Rakennusselostus'!F103</f>
        <v>0</v>
      </c>
      <c r="F108" s="195">
        <f>'Kustannusarvio|Rakennusselostus'!G103</f>
        <v>0</v>
      </c>
      <c r="G108" s="198">
        <f t="shared" si="2"/>
        <v>0</v>
      </c>
      <c r="H108" s="195">
        <f>'Kustannusarvio|Rakennusselostus'!I103</f>
        <v>0</v>
      </c>
      <c r="I108" s="195">
        <f>'Kustannusarvio|Rakennusselostus'!J103</f>
        <v>0</v>
      </c>
      <c r="J108" s="195">
        <f>'Kustannusarvio|Rakennusselostus'!K103</f>
        <v>0</v>
      </c>
      <c r="K108" s="198">
        <f t="shared" si="3"/>
        <v>0</v>
      </c>
      <c r="L108" s="1"/>
    </row>
    <row r="109" spans="1:12" x14ac:dyDescent="0.35">
      <c r="A109" s="19"/>
      <c r="B109" s="291" t="s">
        <v>110</v>
      </c>
      <c r="C109" s="196">
        <f>'Kustannusarvio|Rakennusselostus'!D104</f>
        <v>0</v>
      </c>
      <c r="D109" s="195">
        <f>'Kustannusarvio|Rakennusselostus'!E104</f>
        <v>0</v>
      </c>
      <c r="E109" s="195">
        <f>'Kustannusarvio|Rakennusselostus'!F104</f>
        <v>0</v>
      </c>
      <c r="F109" s="195">
        <f>'Kustannusarvio|Rakennusselostus'!G104</f>
        <v>0</v>
      </c>
      <c r="G109" s="198">
        <f t="shared" si="2"/>
        <v>0</v>
      </c>
      <c r="H109" s="195">
        <f>'Kustannusarvio|Rakennusselostus'!I104</f>
        <v>0</v>
      </c>
      <c r="I109" s="195">
        <f>'Kustannusarvio|Rakennusselostus'!J104</f>
        <v>0</v>
      </c>
      <c r="J109" s="195">
        <f>'Kustannusarvio|Rakennusselostus'!K104</f>
        <v>0</v>
      </c>
      <c r="K109" s="198">
        <f t="shared" si="3"/>
        <v>0</v>
      </c>
      <c r="L109" s="1"/>
    </row>
    <row r="110" spans="1:12" x14ac:dyDescent="0.35">
      <c r="A110" s="19"/>
      <c r="B110" s="293" t="str">
        <f>SUBSTITUTE(IF('Kustannusarvio|Rakennusselostus'!C105="",'Kustannusarvio|Rakennusselostus'!B105,'Kustannusarvio|Rakennusselostus'!C105),":","")</f>
        <v>Muu laite</v>
      </c>
      <c r="C110" s="196">
        <f>'Kustannusarvio|Rakennusselostus'!D105</f>
        <v>0</v>
      </c>
      <c r="D110" s="195">
        <f>'Kustannusarvio|Rakennusselostus'!E105</f>
        <v>0</v>
      </c>
      <c r="E110" s="195">
        <f>'Kustannusarvio|Rakennusselostus'!F105</f>
        <v>0</v>
      </c>
      <c r="F110" s="195">
        <f>'Kustannusarvio|Rakennusselostus'!G105</f>
        <v>0</v>
      </c>
      <c r="G110" s="198">
        <f t="shared" si="2"/>
        <v>0</v>
      </c>
      <c r="H110" s="195">
        <f>'Kustannusarvio|Rakennusselostus'!I105</f>
        <v>0</v>
      </c>
      <c r="I110" s="195">
        <f>'Kustannusarvio|Rakennusselostus'!J105</f>
        <v>0</v>
      </c>
      <c r="J110" s="195">
        <f>'Kustannusarvio|Rakennusselostus'!K105</f>
        <v>0</v>
      </c>
      <c r="K110" s="198">
        <f t="shared" si="3"/>
        <v>0</v>
      </c>
      <c r="L110" s="1"/>
    </row>
    <row r="111" spans="1:12" x14ac:dyDescent="0.35">
      <c r="A111" s="19"/>
      <c r="B111" s="293" t="str">
        <f>SUBSTITUTE(IF('Kustannusarvio|Rakennusselostus'!C106="",'Kustannusarvio|Rakennusselostus'!B106,'Kustannusarvio|Rakennusselostus'!C106),":","")</f>
        <v>Muu laite</v>
      </c>
      <c r="C111" s="196">
        <f>'Kustannusarvio|Rakennusselostus'!D106</f>
        <v>0</v>
      </c>
      <c r="D111" s="195">
        <f>'Kustannusarvio|Rakennusselostus'!E106</f>
        <v>0</v>
      </c>
      <c r="E111" s="195">
        <f>'Kustannusarvio|Rakennusselostus'!F106</f>
        <v>0</v>
      </c>
      <c r="F111" s="195">
        <f>'Kustannusarvio|Rakennusselostus'!G106</f>
        <v>0</v>
      </c>
      <c r="G111" s="198">
        <f t="shared" si="2"/>
        <v>0</v>
      </c>
      <c r="H111" s="195">
        <f>'Kustannusarvio|Rakennusselostus'!I106</f>
        <v>0</v>
      </c>
      <c r="I111" s="195">
        <f>'Kustannusarvio|Rakennusselostus'!J106</f>
        <v>0</v>
      </c>
      <c r="J111" s="195">
        <f>'Kustannusarvio|Rakennusselostus'!K106</f>
        <v>0</v>
      </c>
      <c r="K111" s="198">
        <f t="shared" si="3"/>
        <v>0</v>
      </c>
      <c r="L111" s="1"/>
    </row>
    <row r="112" spans="1:12" x14ac:dyDescent="0.35">
      <c r="A112" s="19"/>
      <c r="B112" s="293" t="str">
        <f>SUBSTITUTE(IF('Kustannusarvio|Rakennusselostus'!C107="",'Kustannusarvio|Rakennusselostus'!B107,'Kustannusarvio|Rakennusselostus'!C107),":","")</f>
        <v>Muu laite</v>
      </c>
      <c r="C112" s="196">
        <f>'Kustannusarvio|Rakennusselostus'!D107</f>
        <v>0</v>
      </c>
      <c r="D112" s="195">
        <f>'Kustannusarvio|Rakennusselostus'!E107</f>
        <v>0</v>
      </c>
      <c r="E112" s="195">
        <f>'Kustannusarvio|Rakennusselostus'!F107</f>
        <v>0</v>
      </c>
      <c r="F112" s="195">
        <f>'Kustannusarvio|Rakennusselostus'!G107</f>
        <v>0</v>
      </c>
      <c r="G112" s="198">
        <f t="shared" si="2"/>
        <v>0</v>
      </c>
      <c r="H112" s="195">
        <f>'Kustannusarvio|Rakennusselostus'!I107</f>
        <v>0</v>
      </c>
      <c r="I112" s="195">
        <f>'Kustannusarvio|Rakennusselostus'!J107</f>
        <v>0</v>
      </c>
      <c r="J112" s="195">
        <f>'Kustannusarvio|Rakennusselostus'!K107</f>
        <v>0</v>
      </c>
      <c r="K112" s="198">
        <f t="shared" si="3"/>
        <v>0</v>
      </c>
      <c r="L112" s="1"/>
    </row>
    <row r="113" spans="1:12" x14ac:dyDescent="0.35">
      <c r="A113" s="28" t="s">
        <v>111</v>
      </c>
      <c r="B113" s="297"/>
      <c r="C113" s="275"/>
      <c r="D113" s="57"/>
      <c r="E113" s="57"/>
      <c r="F113" s="57"/>
      <c r="G113" s="273"/>
      <c r="H113" s="57"/>
      <c r="I113" s="57"/>
      <c r="J113" s="57"/>
      <c r="K113" s="250"/>
      <c r="L113" s="1"/>
    </row>
    <row r="114" spans="1:12" x14ac:dyDescent="0.35">
      <c r="A114" s="19"/>
      <c r="B114" s="291" t="s">
        <v>21</v>
      </c>
      <c r="C114" s="196">
        <f>'Kustannusarvio|Rakennusselostus'!D109</f>
        <v>0</v>
      </c>
      <c r="D114" s="195">
        <f>'Kustannusarvio|Rakennusselostus'!E109</f>
        <v>0</v>
      </c>
      <c r="E114" s="195">
        <f>'Kustannusarvio|Rakennusselostus'!F109</f>
        <v>0</v>
      </c>
      <c r="F114" s="195">
        <f>'Kustannusarvio|Rakennusselostus'!G109</f>
        <v>0</v>
      </c>
      <c r="G114" s="198">
        <f t="shared" si="2"/>
        <v>0</v>
      </c>
      <c r="H114" s="195">
        <f>'Kustannusarvio|Rakennusselostus'!I109</f>
        <v>0</v>
      </c>
      <c r="I114" s="195">
        <f>'Kustannusarvio|Rakennusselostus'!J109</f>
        <v>0</v>
      </c>
      <c r="J114" s="195">
        <f>'Kustannusarvio|Rakennusselostus'!K109</f>
        <v>0</v>
      </c>
      <c r="K114" s="198">
        <f t="shared" si="3"/>
        <v>0</v>
      </c>
      <c r="L114" s="1"/>
    </row>
    <row r="115" spans="1:12" x14ac:dyDescent="0.35">
      <c r="A115" s="19"/>
      <c r="B115" s="291" t="s">
        <v>113</v>
      </c>
      <c r="C115" s="196">
        <f>'Kustannusarvio|Rakennusselostus'!D110</f>
        <v>0</v>
      </c>
      <c r="D115" s="195">
        <f>'Kustannusarvio|Rakennusselostus'!E110</f>
        <v>0</v>
      </c>
      <c r="E115" s="195">
        <f>'Kustannusarvio|Rakennusselostus'!F110</f>
        <v>0</v>
      </c>
      <c r="F115" s="195">
        <f>'Kustannusarvio|Rakennusselostus'!G110</f>
        <v>0</v>
      </c>
      <c r="G115" s="198">
        <f t="shared" si="2"/>
        <v>0</v>
      </c>
      <c r="H115" s="195">
        <f>'Kustannusarvio|Rakennusselostus'!I110</f>
        <v>0</v>
      </c>
      <c r="I115" s="195">
        <f>'Kustannusarvio|Rakennusselostus'!J110</f>
        <v>0</v>
      </c>
      <c r="J115" s="195">
        <f>'Kustannusarvio|Rakennusselostus'!K110</f>
        <v>0</v>
      </c>
      <c r="K115" s="198">
        <f t="shared" si="3"/>
        <v>0</v>
      </c>
      <c r="L115" s="1"/>
    </row>
    <row r="116" spans="1:12" x14ac:dyDescent="0.35">
      <c r="A116" s="19"/>
      <c r="B116" s="291" t="s">
        <v>114</v>
      </c>
      <c r="C116" s="196">
        <f>'Kustannusarvio|Rakennusselostus'!D111</f>
        <v>0</v>
      </c>
      <c r="D116" s="195">
        <f>'Kustannusarvio|Rakennusselostus'!E111</f>
        <v>0</v>
      </c>
      <c r="E116" s="195">
        <f>'Kustannusarvio|Rakennusselostus'!F111</f>
        <v>0</v>
      </c>
      <c r="F116" s="195">
        <f>'Kustannusarvio|Rakennusselostus'!G111</f>
        <v>0</v>
      </c>
      <c r="G116" s="198">
        <f t="shared" si="2"/>
        <v>0</v>
      </c>
      <c r="H116" s="195">
        <f>'Kustannusarvio|Rakennusselostus'!I111</f>
        <v>0</v>
      </c>
      <c r="I116" s="195">
        <f>'Kustannusarvio|Rakennusselostus'!J111</f>
        <v>0</v>
      </c>
      <c r="J116" s="195">
        <f>'Kustannusarvio|Rakennusselostus'!K111</f>
        <v>0</v>
      </c>
      <c r="K116" s="198">
        <f t="shared" si="3"/>
        <v>0</v>
      </c>
      <c r="L116" s="1"/>
    </row>
    <row r="117" spans="1:12" x14ac:dyDescent="0.35">
      <c r="A117" s="19"/>
      <c r="B117" s="291" t="s">
        <v>112</v>
      </c>
      <c r="C117" s="196">
        <f>'Kustannusarvio|Rakennusselostus'!D112</f>
        <v>0</v>
      </c>
      <c r="D117" s="195">
        <f>'Kustannusarvio|Rakennusselostus'!E112</f>
        <v>0</v>
      </c>
      <c r="E117" s="195">
        <f>'Kustannusarvio|Rakennusselostus'!F112</f>
        <v>0</v>
      </c>
      <c r="F117" s="195">
        <f>'Kustannusarvio|Rakennusselostus'!G112</f>
        <v>0</v>
      </c>
      <c r="G117" s="198">
        <f t="shared" si="2"/>
        <v>0</v>
      </c>
      <c r="H117" s="195">
        <f>'Kustannusarvio|Rakennusselostus'!I112</f>
        <v>0</v>
      </c>
      <c r="I117" s="195">
        <f>'Kustannusarvio|Rakennusselostus'!J112</f>
        <v>0</v>
      </c>
      <c r="J117" s="195">
        <f>'Kustannusarvio|Rakennusselostus'!K112</f>
        <v>0</v>
      </c>
      <c r="K117" s="198">
        <f t="shared" si="3"/>
        <v>0</v>
      </c>
      <c r="L117" s="1"/>
    </row>
    <row r="118" spans="1:12" x14ac:dyDescent="0.35">
      <c r="A118" s="19"/>
      <c r="B118" s="293" t="str">
        <f>SUBSTITUTE(IF('Kustannusarvio|Rakennusselostus'!C113="",'Kustannusarvio|Rakennusselostus'!B113,'Kustannusarvio|Rakennusselostus'!C113),":","")</f>
        <v>Muut tilaelementit</v>
      </c>
      <c r="C118" s="196">
        <f>'Kustannusarvio|Rakennusselostus'!D113</f>
        <v>0</v>
      </c>
      <c r="D118" s="195">
        <f>'Kustannusarvio|Rakennusselostus'!E113</f>
        <v>0</v>
      </c>
      <c r="E118" s="195">
        <f>'Kustannusarvio|Rakennusselostus'!F113</f>
        <v>0</v>
      </c>
      <c r="F118" s="195">
        <f>'Kustannusarvio|Rakennusselostus'!G113</f>
        <v>0</v>
      </c>
      <c r="G118" s="198">
        <f t="shared" si="2"/>
        <v>0</v>
      </c>
      <c r="H118" s="195">
        <f>'Kustannusarvio|Rakennusselostus'!I113</f>
        <v>0</v>
      </c>
      <c r="I118" s="195">
        <f>'Kustannusarvio|Rakennusselostus'!J113</f>
        <v>0</v>
      </c>
      <c r="J118" s="195">
        <f>'Kustannusarvio|Rakennusselostus'!K113</f>
        <v>0</v>
      </c>
      <c r="K118" s="198">
        <f t="shared" si="3"/>
        <v>0</v>
      </c>
      <c r="L118" s="1"/>
    </row>
    <row r="119" spans="1:12" x14ac:dyDescent="0.35">
      <c r="A119" s="19"/>
      <c r="B119" s="293" t="str">
        <f>SUBSTITUTE(IF('Kustannusarvio|Rakennusselostus'!C114="",'Kustannusarvio|Rakennusselostus'!B114,'Kustannusarvio|Rakennusselostus'!C114),":","")</f>
        <v>Muut tilaelementit</v>
      </c>
      <c r="C119" s="196">
        <f>'Kustannusarvio|Rakennusselostus'!D114</f>
        <v>0</v>
      </c>
      <c r="D119" s="195">
        <f>'Kustannusarvio|Rakennusselostus'!E114</f>
        <v>0</v>
      </c>
      <c r="E119" s="195">
        <f>'Kustannusarvio|Rakennusselostus'!F114</f>
        <v>0</v>
      </c>
      <c r="F119" s="195">
        <f>'Kustannusarvio|Rakennusselostus'!G114</f>
        <v>0</v>
      </c>
      <c r="G119" s="198">
        <f t="shared" si="2"/>
        <v>0</v>
      </c>
      <c r="H119" s="195">
        <f>'Kustannusarvio|Rakennusselostus'!I114</f>
        <v>0</v>
      </c>
      <c r="I119" s="195">
        <f>'Kustannusarvio|Rakennusselostus'!J114</f>
        <v>0</v>
      </c>
      <c r="J119" s="195">
        <f>'Kustannusarvio|Rakennusselostus'!K114</f>
        <v>0</v>
      </c>
      <c r="K119" s="198">
        <f t="shared" si="3"/>
        <v>0</v>
      </c>
      <c r="L119" s="1"/>
    </row>
    <row r="120" spans="1:12" x14ac:dyDescent="0.35">
      <c r="A120" s="19"/>
      <c r="B120" s="293" t="str">
        <f>SUBSTITUTE(IF('Kustannusarvio|Rakennusselostus'!C115="",'Kustannusarvio|Rakennusselostus'!B115,'Kustannusarvio|Rakennusselostus'!C115),":","")</f>
        <v>Muut tilaelementit</v>
      </c>
      <c r="C120" s="196">
        <f>'Kustannusarvio|Rakennusselostus'!D115</f>
        <v>0</v>
      </c>
      <c r="D120" s="195">
        <f>'Kustannusarvio|Rakennusselostus'!E115</f>
        <v>0</v>
      </c>
      <c r="E120" s="195">
        <f>'Kustannusarvio|Rakennusselostus'!F115</f>
        <v>0</v>
      </c>
      <c r="F120" s="195">
        <f>'Kustannusarvio|Rakennusselostus'!G115</f>
        <v>0</v>
      </c>
      <c r="G120" s="198">
        <f t="shared" si="2"/>
        <v>0</v>
      </c>
      <c r="H120" s="195">
        <f>'Kustannusarvio|Rakennusselostus'!I115</f>
        <v>0</v>
      </c>
      <c r="I120" s="195">
        <f>'Kustannusarvio|Rakennusselostus'!J115</f>
        <v>0</v>
      </c>
      <c r="J120" s="195">
        <f>'Kustannusarvio|Rakennusselostus'!K115</f>
        <v>0</v>
      </c>
      <c r="K120" s="198">
        <f t="shared" si="3"/>
        <v>0</v>
      </c>
      <c r="L120" s="1"/>
    </row>
    <row r="121" spans="1:12" x14ac:dyDescent="0.35">
      <c r="A121" s="28" t="s">
        <v>115</v>
      </c>
      <c r="B121" s="297"/>
      <c r="C121" s="275"/>
      <c r="D121" s="57"/>
      <c r="E121" s="57"/>
      <c r="F121" s="57"/>
      <c r="G121" s="273"/>
      <c r="H121" s="57"/>
      <c r="I121" s="57"/>
      <c r="J121" s="57"/>
      <c r="K121" s="250"/>
      <c r="L121" s="1"/>
    </row>
    <row r="122" spans="1:12" x14ac:dyDescent="0.35">
      <c r="A122" s="32" t="s">
        <v>144</v>
      </c>
      <c r="B122" s="298"/>
      <c r="C122" s="276"/>
      <c r="D122" s="127"/>
      <c r="E122" s="127"/>
      <c r="F122" s="127"/>
      <c r="G122" s="274"/>
      <c r="H122" s="127"/>
      <c r="I122" s="127"/>
      <c r="J122" s="127"/>
      <c r="K122" s="251"/>
      <c r="L122" s="1"/>
    </row>
    <row r="123" spans="1:12" x14ac:dyDescent="0.35">
      <c r="A123" s="19"/>
      <c r="B123" s="291" t="s">
        <v>124</v>
      </c>
      <c r="C123" s="196">
        <f>'Kustannusarvio|Rakennusselostus'!D118</f>
        <v>0</v>
      </c>
      <c r="D123" s="195">
        <f>'Kustannusarvio|Rakennusselostus'!E118</f>
        <v>0</v>
      </c>
      <c r="E123" s="195">
        <f>'Kustannusarvio|Rakennusselostus'!F118</f>
        <v>0</v>
      </c>
      <c r="F123" s="195">
        <f>'Kustannusarvio|Rakennusselostus'!G118</f>
        <v>0</v>
      </c>
      <c r="G123" s="198">
        <f t="shared" si="2"/>
        <v>0</v>
      </c>
      <c r="H123" s="195">
        <f>'Kustannusarvio|Rakennusselostus'!I118</f>
        <v>0</v>
      </c>
      <c r="I123" s="195">
        <f>'Kustannusarvio|Rakennusselostus'!J118</f>
        <v>0</v>
      </c>
      <c r="J123" s="195">
        <f>'Kustannusarvio|Rakennusselostus'!K118</f>
        <v>0</v>
      </c>
      <c r="K123" s="198">
        <f t="shared" si="3"/>
        <v>0</v>
      </c>
      <c r="L123" s="1"/>
    </row>
    <row r="124" spans="1:12" x14ac:dyDescent="0.35">
      <c r="A124" s="19"/>
      <c r="B124" s="291" t="s">
        <v>120</v>
      </c>
      <c r="C124" s="196">
        <f>'Kustannusarvio|Rakennusselostus'!D119</f>
        <v>0</v>
      </c>
      <c r="D124" s="195">
        <f>'Kustannusarvio|Rakennusselostus'!E119</f>
        <v>0</v>
      </c>
      <c r="E124" s="195">
        <f>'Kustannusarvio|Rakennusselostus'!F119</f>
        <v>0</v>
      </c>
      <c r="F124" s="195">
        <f>'Kustannusarvio|Rakennusselostus'!G119</f>
        <v>0</v>
      </c>
      <c r="G124" s="198">
        <f t="shared" si="2"/>
        <v>0</v>
      </c>
      <c r="H124" s="195">
        <f>'Kustannusarvio|Rakennusselostus'!I119</f>
        <v>0</v>
      </c>
      <c r="I124" s="195">
        <f>'Kustannusarvio|Rakennusselostus'!J119</f>
        <v>0</v>
      </c>
      <c r="J124" s="195">
        <f>'Kustannusarvio|Rakennusselostus'!K119</f>
        <v>0</v>
      </c>
      <c r="K124" s="198">
        <f t="shared" si="3"/>
        <v>0</v>
      </c>
      <c r="L124" s="1"/>
    </row>
    <row r="125" spans="1:12" x14ac:dyDescent="0.35">
      <c r="A125" s="19"/>
      <c r="B125" s="291" t="s">
        <v>8</v>
      </c>
      <c r="C125" s="196">
        <f>'Kustannusarvio|Rakennusselostus'!D120</f>
        <v>0</v>
      </c>
      <c r="D125" s="195">
        <f>'Kustannusarvio|Rakennusselostus'!E120</f>
        <v>0</v>
      </c>
      <c r="E125" s="195">
        <f>'Kustannusarvio|Rakennusselostus'!F120</f>
        <v>0</v>
      </c>
      <c r="F125" s="195">
        <f>'Kustannusarvio|Rakennusselostus'!G120</f>
        <v>0</v>
      </c>
      <c r="G125" s="198">
        <f t="shared" si="2"/>
        <v>0</v>
      </c>
      <c r="H125" s="195">
        <f>'Kustannusarvio|Rakennusselostus'!I120</f>
        <v>0</v>
      </c>
      <c r="I125" s="195">
        <f>'Kustannusarvio|Rakennusselostus'!J120</f>
        <v>0</v>
      </c>
      <c r="J125" s="195">
        <f>'Kustannusarvio|Rakennusselostus'!K120</f>
        <v>0</v>
      </c>
      <c r="K125" s="198">
        <f t="shared" si="3"/>
        <v>0</v>
      </c>
      <c r="L125" s="1"/>
    </row>
    <row r="126" spans="1:12" x14ac:dyDescent="0.35">
      <c r="A126" s="19"/>
      <c r="B126" s="291" t="s">
        <v>121</v>
      </c>
      <c r="C126" s="196">
        <f>'Kustannusarvio|Rakennusselostus'!D121</f>
        <v>0</v>
      </c>
      <c r="D126" s="195">
        <f>'Kustannusarvio|Rakennusselostus'!E121</f>
        <v>0</v>
      </c>
      <c r="E126" s="195">
        <f>'Kustannusarvio|Rakennusselostus'!F121</f>
        <v>0</v>
      </c>
      <c r="F126" s="195">
        <f>'Kustannusarvio|Rakennusselostus'!G121</f>
        <v>0</v>
      </c>
      <c r="G126" s="198">
        <f t="shared" si="2"/>
        <v>0</v>
      </c>
      <c r="H126" s="195">
        <f>'Kustannusarvio|Rakennusselostus'!I121</f>
        <v>0</v>
      </c>
      <c r="I126" s="195">
        <f>'Kustannusarvio|Rakennusselostus'!J121</f>
        <v>0</v>
      </c>
      <c r="J126" s="195">
        <f>'Kustannusarvio|Rakennusselostus'!K121</f>
        <v>0</v>
      </c>
      <c r="K126" s="198">
        <f t="shared" si="3"/>
        <v>0</v>
      </c>
      <c r="L126" s="1"/>
    </row>
    <row r="127" spans="1:12" x14ac:dyDescent="0.35">
      <c r="A127" s="19"/>
      <c r="B127" s="291" t="s">
        <v>125</v>
      </c>
      <c r="C127" s="196">
        <f>'Kustannusarvio|Rakennusselostus'!D122</f>
        <v>0</v>
      </c>
      <c r="D127" s="195">
        <f>'Kustannusarvio|Rakennusselostus'!E122</f>
        <v>0</v>
      </c>
      <c r="E127" s="195">
        <f>'Kustannusarvio|Rakennusselostus'!F122</f>
        <v>0</v>
      </c>
      <c r="F127" s="195">
        <f>'Kustannusarvio|Rakennusselostus'!G122</f>
        <v>0</v>
      </c>
      <c r="G127" s="198">
        <f t="shared" si="2"/>
        <v>0</v>
      </c>
      <c r="H127" s="195">
        <f>'Kustannusarvio|Rakennusselostus'!I122</f>
        <v>0</v>
      </c>
      <c r="I127" s="195">
        <f>'Kustannusarvio|Rakennusselostus'!J122</f>
        <v>0</v>
      </c>
      <c r="J127" s="195">
        <f>'Kustannusarvio|Rakennusselostus'!K122</f>
        <v>0</v>
      </c>
      <c r="K127" s="198">
        <f t="shared" si="3"/>
        <v>0</v>
      </c>
      <c r="L127" s="1"/>
    </row>
    <row r="128" spans="1:12" x14ac:dyDescent="0.35">
      <c r="A128" s="19"/>
      <c r="B128" s="291" t="s">
        <v>122</v>
      </c>
      <c r="C128" s="196">
        <f>'Kustannusarvio|Rakennusselostus'!D123</f>
        <v>0</v>
      </c>
      <c r="D128" s="195">
        <f>'Kustannusarvio|Rakennusselostus'!E123</f>
        <v>0</v>
      </c>
      <c r="E128" s="195">
        <f>'Kustannusarvio|Rakennusselostus'!F123</f>
        <v>0</v>
      </c>
      <c r="F128" s="195">
        <f>'Kustannusarvio|Rakennusselostus'!G123</f>
        <v>0</v>
      </c>
      <c r="G128" s="198">
        <f t="shared" si="2"/>
        <v>0</v>
      </c>
      <c r="H128" s="195">
        <f>'Kustannusarvio|Rakennusselostus'!I123</f>
        <v>0</v>
      </c>
      <c r="I128" s="195">
        <f>'Kustannusarvio|Rakennusselostus'!J123</f>
        <v>0</v>
      </c>
      <c r="J128" s="195">
        <f>'Kustannusarvio|Rakennusselostus'!K123</f>
        <v>0</v>
      </c>
      <c r="K128" s="198">
        <f t="shared" si="3"/>
        <v>0</v>
      </c>
      <c r="L128" s="1"/>
    </row>
    <row r="129" spans="1:12" x14ac:dyDescent="0.35">
      <c r="A129" s="19"/>
      <c r="B129" s="291" t="s">
        <v>123</v>
      </c>
      <c r="C129" s="196">
        <f>'Kustannusarvio|Rakennusselostus'!D124</f>
        <v>0</v>
      </c>
      <c r="D129" s="195">
        <f>'Kustannusarvio|Rakennusselostus'!E124</f>
        <v>0</v>
      </c>
      <c r="E129" s="195">
        <f>'Kustannusarvio|Rakennusselostus'!F124</f>
        <v>0</v>
      </c>
      <c r="F129" s="195">
        <f>'Kustannusarvio|Rakennusselostus'!G124</f>
        <v>0</v>
      </c>
      <c r="G129" s="198">
        <f t="shared" si="2"/>
        <v>0</v>
      </c>
      <c r="H129" s="195">
        <f>'Kustannusarvio|Rakennusselostus'!I124</f>
        <v>0</v>
      </c>
      <c r="I129" s="195">
        <f>'Kustannusarvio|Rakennusselostus'!J124</f>
        <v>0</v>
      </c>
      <c r="J129" s="195">
        <f>'Kustannusarvio|Rakennusselostus'!K124</f>
        <v>0</v>
      </c>
      <c r="K129" s="198">
        <f t="shared" si="3"/>
        <v>0</v>
      </c>
      <c r="L129" s="1"/>
    </row>
    <row r="130" spans="1:12" x14ac:dyDescent="0.35">
      <c r="A130" s="19"/>
      <c r="B130" s="296" t="s">
        <v>128</v>
      </c>
      <c r="C130" s="196">
        <f>'Kustannusarvio|Rakennusselostus'!D125</f>
        <v>0</v>
      </c>
      <c r="D130" s="195">
        <f>'Kustannusarvio|Rakennusselostus'!E125</f>
        <v>0</v>
      </c>
      <c r="E130" s="195">
        <f>'Kustannusarvio|Rakennusselostus'!F125</f>
        <v>0</v>
      </c>
      <c r="F130" s="195">
        <f>'Kustannusarvio|Rakennusselostus'!G125</f>
        <v>0</v>
      </c>
      <c r="G130" s="198">
        <f t="shared" si="2"/>
        <v>0</v>
      </c>
      <c r="H130" s="195">
        <f>'Kustannusarvio|Rakennusselostus'!I125</f>
        <v>0</v>
      </c>
      <c r="I130" s="195">
        <f>'Kustannusarvio|Rakennusselostus'!J125</f>
        <v>0</v>
      </c>
      <c r="J130" s="195">
        <f>'Kustannusarvio|Rakennusselostus'!K125</f>
        <v>0</v>
      </c>
      <c r="K130" s="198">
        <f t="shared" si="3"/>
        <v>0</v>
      </c>
      <c r="L130" s="1"/>
    </row>
    <row r="131" spans="1:12" x14ac:dyDescent="0.35">
      <c r="A131" s="19"/>
      <c r="B131" s="291" t="s">
        <v>126</v>
      </c>
      <c r="C131" s="196">
        <f>'Kustannusarvio|Rakennusselostus'!D126</f>
        <v>0</v>
      </c>
      <c r="D131" s="195">
        <f>'Kustannusarvio|Rakennusselostus'!E126</f>
        <v>0</v>
      </c>
      <c r="E131" s="195">
        <f>'Kustannusarvio|Rakennusselostus'!F126</f>
        <v>0</v>
      </c>
      <c r="F131" s="195">
        <f>'Kustannusarvio|Rakennusselostus'!G126</f>
        <v>0</v>
      </c>
      <c r="G131" s="198">
        <f t="shared" si="2"/>
        <v>0</v>
      </c>
      <c r="H131" s="195">
        <f>'Kustannusarvio|Rakennusselostus'!I126</f>
        <v>0</v>
      </c>
      <c r="I131" s="195">
        <f>'Kustannusarvio|Rakennusselostus'!J126</f>
        <v>0</v>
      </c>
      <c r="J131" s="195">
        <f>'Kustannusarvio|Rakennusselostus'!K126</f>
        <v>0</v>
      </c>
      <c r="K131" s="198">
        <f t="shared" si="3"/>
        <v>0</v>
      </c>
      <c r="L131" s="1"/>
    </row>
    <row r="132" spans="1:12" x14ac:dyDescent="0.35">
      <c r="A132" s="19"/>
      <c r="B132" s="291" t="s">
        <v>127</v>
      </c>
      <c r="C132" s="196">
        <f>'Kustannusarvio|Rakennusselostus'!D127</f>
        <v>0</v>
      </c>
      <c r="D132" s="195">
        <f>'Kustannusarvio|Rakennusselostus'!E127</f>
        <v>0</v>
      </c>
      <c r="E132" s="195">
        <f>'Kustannusarvio|Rakennusselostus'!F127</f>
        <v>0</v>
      </c>
      <c r="F132" s="195">
        <f>'Kustannusarvio|Rakennusselostus'!G127</f>
        <v>0</v>
      </c>
      <c r="G132" s="198">
        <f t="shared" si="2"/>
        <v>0</v>
      </c>
      <c r="H132" s="195">
        <f>'Kustannusarvio|Rakennusselostus'!I127</f>
        <v>0</v>
      </c>
      <c r="I132" s="195">
        <f>'Kustannusarvio|Rakennusselostus'!J127</f>
        <v>0</v>
      </c>
      <c r="J132" s="195">
        <f>'Kustannusarvio|Rakennusselostus'!K127</f>
        <v>0</v>
      </c>
      <c r="K132" s="198">
        <f t="shared" si="3"/>
        <v>0</v>
      </c>
      <c r="L132" s="1"/>
    </row>
    <row r="133" spans="1:12" x14ac:dyDescent="0.35">
      <c r="A133" s="19"/>
      <c r="B133" s="291" t="s">
        <v>191</v>
      </c>
      <c r="C133" s="196">
        <f>'Kustannusarvio|Rakennusselostus'!D128</f>
        <v>0</v>
      </c>
      <c r="D133" s="195">
        <f>'Kustannusarvio|Rakennusselostus'!E128</f>
        <v>0</v>
      </c>
      <c r="E133" s="195">
        <f>'Kustannusarvio|Rakennusselostus'!F128</f>
        <v>0</v>
      </c>
      <c r="F133" s="195">
        <f>'Kustannusarvio|Rakennusselostus'!G128</f>
        <v>0</v>
      </c>
      <c r="G133" s="198">
        <f t="shared" si="2"/>
        <v>0</v>
      </c>
      <c r="H133" s="195">
        <f>'Kustannusarvio|Rakennusselostus'!I128</f>
        <v>0</v>
      </c>
      <c r="I133" s="195">
        <f>'Kustannusarvio|Rakennusselostus'!J128</f>
        <v>0</v>
      </c>
      <c r="J133" s="195">
        <f>'Kustannusarvio|Rakennusselostus'!K128</f>
        <v>0</v>
      </c>
      <c r="K133" s="198">
        <f t="shared" si="3"/>
        <v>0</v>
      </c>
      <c r="L133" s="1"/>
    </row>
    <row r="134" spans="1:12" x14ac:dyDescent="0.35">
      <c r="A134" s="19"/>
      <c r="B134" s="291" t="s">
        <v>129</v>
      </c>
      <c r="C134" s="196">
        <f>'Kustannusarvio|Rakennusselostus'!D129</f>
        <v>0</v>
      </c>
      <c r="D134" s="195">
        <f>'Kustannusarvio|Rakennusselostus'!E129</f>
        <v>0</v>
      </c>
      <c r="E134" s="195">
        <f>'Kustannusarvio|Rakennusselostus'!F129</f>
        <v>0</v>
      </c>
      <c r="F134" s="195">
        <f>'Kustannusarvio|Rakennusselostus'!G129</f>
        <v>0</v>
      </c>
      <c r="G134" s="198">
        <f t="shared" si="2"/>
        <v>0</v>
      </c>
      <c r="H134" s="195">
        <f>'Kustannusarvio|Rakennusselostus'!I129</f>
        <v>0</v>
      </c>
      <c r="I134" s="195">
        <f>'Kustannusarvio|Rakennusselostus'!J129</f>
        <v>0</v>
      </c>
      <c r="J134" s="195">
        <f>'Kustannusarvio|Rakennusselostus'!K129</f>
        <v>0</v>
      </c>
      <c r="K134" s="198">
        <f t="shared" si="3"/>
        <v>0</v>
      </c>
      <c r="L134" s="1"/>
    </row>
    <row r="135" spans="1:12" x14ac:dyDescent="0.35">
      <c r="A135" s="19"/>
      <c r="B135" s="296" t="s">
        <v>132</v>
      </c>
      <c r="C135" s="196">
        <f>'Kustannusarvio|Rakennusselostus'!D130</f>
        <v>0</v>
      </c>
      <c r="D135" s="195">
        <f>'Kustannusarvio|Rakennusselostus'!E130</f>
        <v>0</v>
      </c>
      <c r="E135" s="195">
        <f>'Kustannusarvio|Rakennusselostus'!F130</f>
        <v>0</v>
      </c>
      <c r="F135" s="195">
        <f>'Kustannusarvio|Rakennusselostus'!G130</f>
        <v>0</v>
      </c>
      <c r="G135" s="198">
        <f t="shared" si="2"/>
        <v>0</v>
      </c>
      <c r="H135" s="195">
        <f>'Kustannusarvio|Rakennusselostus'!I130</f>
        <v>0</v>
      </c>
      <c r="I135" s="195">
        <f>'Kustannusarvio|Rakennusselostus'!J130</f>
        <v>0</v>
      </c>
      <c r="J135" s="195">
        <f>'Kustannusarvio|Rakennusselostus'!K130</f>
        <v>0</v>
      </c>
      <c r="K135" s="198">
        <f t="shared" si="3"/>
        <v>0</v>
      </c>
      <c r="L135" s="1"/>
    </row>
    <row r="136" spans="1:12" x14ac:dyDescent="0.35">
      <c r="A136" s="19"/>
      <c r="B136" s="296" t="s">
        <v>133</v>
      </c>
      <c r="C136" s="196">
        <f>'Kustannusarvio|Rakennusselostus'!D131</f>
        <v>0</v>
      </c>
      <c r="D136" s="195">
        <f>'Kustannusarvio|Rakennusselostus'!E131</f>
        <v>0</v>
      </c>
      <c r="E136" s="195">
        <f>'Kustannusarvio|Rakennusselostus'!F131</f>
        <v>0</v>
      </c>
      <c r="F136" s="195">
        <f>'Kustannusarvio|Rakennusselostus'!G131</f>
        <v>0</v>
      </c>
      <c r="G136" s="198">
        <f t="shared" si="2"/>
        <v>0</v>
      </c>
      <c r="H136" s="195">
        <f>'Kustannusarvio|Rakennusselostus'!I131</f>
        <v>0</v>
      </c>
      <c r="I136" s="195">
        <f>'Kustannusarvio|Rakennusselostus'!J131</f>
        <v>0</v>
      </c>
      <c r="J136" s="195">
        <f>'Kustannusarvio|Rakennusselostus'!K131</f>
        <v>0</v>
      </c>
      <c r="K136" s="198">
        <f t="shared" si="3"/>
        <v>0</v>
      </c>
      <c r="L136" s="1"/>
    </row>
    <row r="137" spans="1:12" x14ac:dyDescent="0.35">
      <c r="A137" s="19"/>
      <c r="B137" s="296" t="s">
        <v>145</v>
      </c>
      <c r="C137" s="196">
        <f>'Kustannusarvio|Rakennusselostus'!D132</f>
        <v>0</v>
      </c>
      <c r="D137" s="195">
        <f>'Kustannusarvio|Rakennusselostus'!E132</f>
        <v>0</v>
      </c>
      <c r="E137" s="195">
        <f>'Kustannusarvio|Rakennusselostus'!F132</f>
        <v>0</v>
      </c>
      <c r="F137" s="195">
        <f>'Kustannusarvio|Rakennusselostus'!G132</f>
        <v>0</v>
      </c>
      <c r="G137" s="198">
        <f t="shared" si="2"/>
        <v>0</v>
      </c>
      <c r="H137" s="195">
        <f>'Kustannusarvio|Rakennusselostus'!I132</f>
        <v>0</v>
      </c>
      <c r="I137" s="195">
        <f>'Kustannusarvio|Rakennusselostus'!J132</f>
        <v>0</v>
      </c>
      <c r="J137" s="195">
        <f>'Kustannusarvio|Rakennusselostus'!K132</f>
        <v>0</v>
      </c>
      <c r="K137" s="198">
        <f t="shared" si="3"/>
        <v>0</v>
      </c>
      <c r="L137" s="1"/>
    </row>
    <row r="138" spans="1:12" x14ac:dyDescent="0.35">
      <c r="A138" s="19"/>
      <c r="B138" s="296" t="s">
        <v>134</v>
      </c>
      <c r="C138" s="196">
        <f>'Kustannusarvio|Rakennusselostus'!D133</f>
        <v>0</v>
      </c>
      <c r="D138" s="195">
        <f>'Kustannusarvio|Rakennusselostus'!E133</f>
        <v>0</v>
      </c>
      <c r="E138" s="195">
        <f>'Kustannusarvio|Rakennusselostus'!F133</f>
        <v>0</v>
      </c>
      <c r="F138" s="195">
        <f>'Kustannusarvio|Rakennusselostus'!G133</f>
        <v>0</v>
      </c>
      <c r="G138" s="198">
        <f t="shared" si="2"/>
        <v>0</v>
      </c>
      <c r="H138" s="195">
        <f>'Kustannusarvio|Rakennusselostus'!I133</f>
        <v>0</v>
      </c>
      <c r="I138" s="195">
        <f>'Kustannusarvio|Rakennusselostus'!J133</f>
        <v>0</v>
      </c>
      <c r="J138" s="195">
        <f>'Kustannusarvio|Rakennusselostus'!K133</f>
        <v>0</v>
      </c>
      <c r="K138" s="198">
        <f t="shared" si="3"/>
        <v>0</v>
      </c>
      <c r="L138" s="1"/>
    </row>
    <row r="139" spans="1:12" x14ac:dyDescent="0.35">
      <c r="A139" s="19"/>
      <c r="B139" s="293" t="str">
        <f>SUBSTITUTE(IF('Kustannusarvio|Rakennusselostus'!C134="",'Kustannusarvio|Rakennusselostus'!B134,'Kustannusarvio|Rakennusselostus'!C134),":","")</f>
        <v>Muu järjestelmä</v>
      </c>
      <c r="C139" s="196">
        <f>'Kustannusarvio|Rakennusselostus'!D134</f>
        <v>0</v>
      </c>
      <c r="D139" s="195">
        <f>'Kustannusarvio|Rakennusselostus'!E134</f>
        <v>0</v>
      </c>
      <c r="E139" s="195">
        <f>'Kustannusarvio|Rakennusselostus'!F134</f>
        <v>0</v>
      </c>
      <c r="F139" s="195">
        <f>'Kustannusarvio|Rakennusselostus'!G134</f>
        <v>0</v>
      </c>
      <c r="G139" s="198">
        <f t="shared" si="2"/>
        <v>0</v>
      </c>
      <c r="H139" s="195">
        <f>'Kustannusarvio|Rakennusselostus'!I134</f>
        <v>0</v>
      </c>
      <c r="I139" s="195">
        <f>'Kustannusarvio|Rakennusselostus'!J134</f>
        <v>0</v>
      </c>
      <c r="J139" s="195">
        <f>'Kustannusarvio|Rakennusselostus'!K134</f>
        <v>0</v>
      </c>
      <c r="K139" s="198">
        <f t="shared" si="3"/>
        <v>0</v>
      </c>
      <c r="L139" s="1"/>
    </row>
    <row r="140" spans="1:12" x14ac:dyDescent="0.35">
      <c r="A140" s="28" t="s">
        <v>131</v>
      </c>
      <c r="B140" s="297"/>
      <c r="C140" s="275"/>
      <c r="D140" s="57"/>
      <c r="E140" s="57"/>
      <c r="F140" s="57"/>
      <c r="G140" s="273"/>
      <c r="H140" s="57"/>
      <c r="I140" s="57"/>
      <c r="J140" s="57"/>
      <c r="K140" s="250"/>
      <c r="L140" s="1"/>
    </row>
    <row r="141" spans="1:12" x14ac:dyDescent="0.35">
      <c r="A141" s="19"/>
      <c r="B141" s="291" t="s">
        <v>9</v>
      </c>
      <c r="C141" s="196">
        <f>'Kustannusarvio|Rakennusselostus'!D136</f>
        <v>0</v>
      </c>
      <c r="D141" s="195">
        <f>'Kustannusarvio|Rakennusselostus'!E136</f>
        <v>0</v>
      </c>
      <c r="E141" s="195">
        <f>'Kustannusarvio|Rakennusselostus'!F136</f>
        <v>0</v>
      </c>
      <c r="F141" s="195">
        <f>'Kustannusarvio|Rakennusselostus'!G136</f>
        <v>0</v>
      </c>
      <c r="G141" s="198">
        <f t="shared" ref="G141:G152" si="4">F141*D141</f>
        <v>0</v>
      </c>
      <c r="H141" s="195">
        <f>'Kustannusarvio|Rakennusselostus'!I136</f>
        <v>0</v>
      </c>
      <c r="I141" s="195">
        <f>'Kustannusarvio|Rakennusselostus'!J136</f>
        <v>0</v>
      </c>
      <c r="J141" s="195">
        <f>'Kustannusarvio|Rakennusselostus'!K136</f>
        <v>0</v>
      </c>
      <c r="K141" s="198">
        <f t="shared" ref="K141:K152" si="5">G141+H141+I141*J141</f>
        <v>0</v>
      </c>
      <c r="L141" s="1"/>
    </row>
    <row r="142" spans="1:12" x14ac:dyDescent="0.35">
      <c r="A142" s="19"/>
      <c r="B142" s="291" t="s">
        <v>10</v>
      </c>
      <c r="C142" s="196">
        <f>'Kustannusarvio|Rakennusselostus'!D137</f>
        <v>0</v>
      </c>
      <c r="D142" s="195">
        <f>'Kustannusarvio|Rakennusselostus'!E137</f>
        <v>0</v>
      </c>
      <c r="E142" s="195">
        <f>'Kustannusarvio|Rakennusselostus'!F137</f>
        <v>0</v>
      </c>
      <c r="F142" s="195">
        <f>'Kustannusarvio|Rakennusselostus'!G137</f>
        <v>0</v>
      </c>
      <c r="G142" s="198">
        <f t="shared" si="4"/>
        <v>0</v>
      </c>
      <c r="H142" s="195">
        <f>'Kustannusarvio|Rakennusselostus'!I137</f>
        <v>0</v>
      </c>
      <c r="I142" s="195">
        <f>'Kustannusarvio|Rakennusselostus'!J137</f>
        <v>0</v>
      </c>
      <c r="J142" s="195">
        <f>'Kustannusarvio|Rakennusselostus'!K137</f>
        <v>0</v>
      </c>
      <c r="K142" s="198">
        <f t="shared" si="5"/>
        <v>0</v>
      </c>
      <c r="L142" s="1"/>
    </row>
    <row r="143" spans="1:12" x14ac:dyDescent="0.35">
      <c r="A143" s="19"/>
      <c r="B143" s="291" t="s">
        <v>41</v>
      </c>
      <c r="C143" s="196">
        <f>'Kustannusarvio|Rakennusselostus'!D138</f>
        <v>0</v>
      </c>
      <c r="D143" s="195">
        <f>'Kustannusarvio|Rakennusselostus'!E138</f>
        <v>0</v>
      </c>
      <c r="E143" s="195">
        <f>'Kustannusarvio|Rakennusselostus'!F138</f>
        <v>0</v>
      </c>
      <c r="F143" s="195">
        <f>'Kustannusarvio|Rakennusselostus'!G138</f>
        <v>0</v>
      </c>
      <c r="G143" s="198">
        <f t="shared" si="4"/>
        <v>0</v>
      </c>
      <c r="H143" s="195">
        <f>'Kustannusarvio|Rakennusselostus'!I138</f>
        <v>0</v>
      </c>
      <c r="I143" s="195">
        <f>'Kustannusarvio|Rakennusselostus'!J138</f>
        <v>0</v>
      </c>
      <c r="J143" s="195">
        <f>'Kustannusarvio|Rakennusselostus'!K138</f>
        <v>0</v>
      </c>
      <c r="K143" s="198">
        <f t="shared" si="5"/>
        <v>0</v>
      </c>
      <c r="L143" s="1"/>
    </row>
    <row r="144" spans="1:12" x14ac:dyDescent="0.35">
      <c r="A144" s="19"/>
      <c r="B144" s="291" t="s">
        <v>42</v>
      </c>
      <c r="C144" s="196">
        <f>'Kustannusarvio|Rakennusselostus'!D139</f>
        <v>0</v>
      </c>
      <c r="D144" s="195">
        <f>'Kustannusarvio|Rakennusselostus'!E139</f>
        <v>0</v>
      </c>
      <c r="E144" s="195">
        <f>'Kustannusarvio|Rakennusselostus'!F139</f>
        <v>0</v>
      </c>
      <c r="F144" s="195">
        <f>'Kustannusarvio|Rakennusselostus'!G139</f>
        <v>0</v>
      </c>
      <c r="G144" s="198">
        <f t="shared" si="4"/>
        <v>0</v>
      </c>
      <c r="H144" s="195">
        <f>'Kustannusarvio|Rakennusselostus'!I139</f>
        <v>0</v>
      </c>
      <c r="I144" s="195">
        <f>'Kustannusarvio|Rakennusselostus'!J139</f>
        <v>0</v>
      </c>
      <c r="J144" s="195">
        <f>'Kustannusarvio|Rakennusselostus'!K139</f>
        <v>0</v>
      </c>
      <c r="K144" s="198">
        <f t="shared" si="5"/>
        <v>0</v>
      </c>
      <c r="L144" s="1"/>
    </row>
    <row r="145" spans="1:14" x14ac:dyDescent="0.35">
      <c r="A145" s="19"/>
      <c r="B145" s="291" t="s">
        <v>146</v>
      </c>
      <c r="C145" s="196">
        <f>'Kustannusarvio|Rakennusselostus'!D140</f>
        <v>0</v>
      </c>
      <c r="D145" s="195">
        <f>'Kustannusarvio|Rakennusselostus'!E140</f>
        <v>0</v>
      </c>
      <c r="E145" s="195">
        <f>'Kustannusarvio|Rakennusselostus'!F140</f>
        <v>0</v>
      </c>
      <c r="F145" s="195">
        <f>'Kustannusarvio|Rakennusselostus'!G140</f>
        <v>0</v>
      </c>
      <c r="G145" s="198">
        <f t="shared" si="4"/>
        <v>0</v>
      </c>
      <c r="H145" s="195">
        <f>'Kustannusarvio|Rakennusselostus'!I140</f>
        <v>0</v>
      </c>
      <c r="I145" s="195">
        <f>'Kustannusarvio|Rakennusselostus'!J140</f>
        <v>0</v>
      </c>
      <c r="J145" s="195">
        <f>'Kustannusarvio|Rakennusselostus'!K140</f>
        <v>0</v>
      </c>
      <c r="K145" s="198">
        <f t="shared" si="5"/>
        <v>0</v>
      </c>
      <c r="L145" s="1"/>
    </row>
    <row r="146" spans="1:14" x14ac:dyDescent="0.35">
      <c r="A146" s="19"/>
      <c r="B146" s="291" t="s">
        <v>29</v>
      </c>
      <c r="C146" s="196">
        <f>'Kustannusarvio|Rakennusselostus'!D141</f>
        <v>0</v>
      </c>
      <c r="D146" s="195">
        <f>'Kustannusarvio|Rakennusselostus'!E141</f>
        <v>0</v>
      </c>
      <c r="E146" s="195">
        <f>'Kustannusarvio|Rakennusselostus'!F141</f>
        <v>0</v>
      </c>
      <c r="F146" s="195">
        <f>'Kustannusarvio|Rakennusselostus'!G141</f>
        <v>0</v>
      </c>
      <c r="G146" s="198">
        <f t="shared" si="4"/>
        <v>0</v>
      </c>
      <c r="H146" s="195">
        <f>'Kustannusarvio|Rakennusselostus'!I141</f>
        <v>0</v>
      </c>
      <c r="I146" s="195">
        <f>'Kustannusarvio|Rakennusselostus'!J141</f>
        <v>0</v>
      </c>
      <c r="J146" s="195">
        <f>'Kustannusarvio|Rakennusselostus'!K141</f>
        <v>0</v>
      </c>
      <c r="K146" s="198">
        <f t="shared" si="5"/>
        <v>0</v>
      </c>
      <c r="L146" s="1"/>
    </row>
    <row r="147" spans="1:14" x14ac:dyDescent="0.35">
      <c r="A147" s="19"/>
      <c r="B147" s="291" t="s">
        <v>38</v>
      </c>
      <c r="C147" s="196">
        <f>'Kustannusarvio|Rakennusselostus'!D142</f>
        <v>0</v>
      </c>
      <c r="D147" s="195">
        <f>'Kustannusarvio|Rakennusselostus'!E142</f>
        <v>0</v>
      </c>
      <c r="E147" s="195">
        <f>'Kustannusarvio|Rakennusselostus'!F142</f>
        <v>0</v>
      </c>
      <c r="F147" s="195">
        <f>'Kustannusarvio|Rakennusselostus'!G142</f>
        <v>0</v>
      </c>
      <c r="G147" s="198">
        <f t="shared" si="4"/>
        <v>0</v>
      </c>
      <c r="H147" s="195">
        <f>'Kustannusarvio|Rakennusselostus'!I142</f>
        <v>0</v>
      </c>
      <c r="I147" s="195">
        <f>'Kustannusarvio|Rakennusselostus'!J142</f>
        <v>0</v>
      </c>
      <c r="J147" s="195">
        <f>'Kustannusarvio|Rakennusselostus'!K142</f>
        <v>0</v>
      </c>
      <c r="K147" s="198">
        <f t="shared" si="5"/>
        <v>0</v>
      </c>
      <c r="L147" s="1"/>
    </row>
    <row r="148" spans="1:14" x14ac:dyDescent="0.35">
      <c r="A148" s="19"/>
      <c r="B148" s="291" t="s">
        <v>155</v>
      </c>
      <c r="C148" s="196">
        <f>'Kustannusarvio|Rakennusselostus'!D143</f>
        <v>0</v>
      </c>
      <c r="D148" s="195">
        <f>'Kustannusarvio|Rakennusselostus'!E143</f>
        <v>0</v>
      </c>
      <c r="E148" s="195">
        <f>'Kustannusarvio|Rakennusselostus'!F143</f>
        <v>0</v>
      </c>
      <c r="F148" s="195">
        <f>'Kustannusarvio|Rakennusselostus'!G143</f>
        <v>0</v>
      </c>
      <c r="G148" s="198">
        <f t="shared" si="4"/>
        <v>0</v>
      </c>
      <c r="H148" s="195">
        <f>'Kustannusarvio|Rakennusselostus'!I143</f>
        <v>0</v>
      </c>
      <c r="I148" s="195">
        <f>'Kustannusarvio|Rakennusselostus'!J143</f>
        <v>0</v>
      </c>
      <c r="J148" s="195">
        <f>'Kustannusarvio|Rakennusselostus'!K143</f>
        <v>0</v>
      </c>
      <c r="K148" s="198">
        <f t="shared" si="5"/>
        <v>0</v>
      </c>
      <c r="L148" s="1"/>
    </row>
    <row r="149" spans="1:14" x14ac:dyDescent="0.35">
      <c r="A149" s="19"/>
      <c r="B149" s="293" t="str">
        <f>SUBSTITUTE(IF('Kustannusarvio|Rakennusselostus'!C144="",'Kustannusarvio|Rakennusselostus'!B144,'Kustannusarvio|Rakennusselostus'!C144),":","")</f>
        <v>Muu kustannus</v>
      </c>
      <c r="C149" s="196">
        <f>'Kustannusarvio|Rakennusselostus'!D144</f>
        <v>0</v>
      </c>
      <c r="D149" s="195">
        <f>'Kustannusarvio|Rakennusselostus'!E144</f>
        <v>0</v>
      </c>
      <c r="E149" s="195">
        <f>'Kustannusarvio|Rakennusselostus'!F144</f>
        <v>0</v>
      </c>
      <c r="F149" s="195">
        <f>'Kustannusarvio|Rakennusselostus'!G144</f>
        <v>0</v>
      </c>
      <c r="G149" s="198">
        <f t="shared" si="4"/>
        <v>0</v>
      </c>
      <c r="H149" s="195">
        <f>'Kustannusarvio|Rakennusselostus'!I144</f>
        <v>0</v>
      </c>
      <c r="I149" s="195">
        <f>'Kustannusarvio|Rakennusselostus'!J144</f>
        <v>0</v>
      </c>
      <c r="J149" s="195">
        <f>'Kustannusarvio|Rakennusselostus'!K144</f>
        <v>0</v>
      </c>
      <c r="K149" s="198">
        <f t="shared" si="5"/>
        <v>0</v>
      </c>
      <c r="L149" s="1"/>
    </row>
    <row r="150" spans="1:14" x14ac:dyDescent="0.35">
      <c r="A150" s="19"/>
      <c r="B150" s="293" t="str">
        <f>SUBSTITUTE(IF('Kustannusarvio|Rakennusselostus'!C145="",'Kustannusarvio|Rakennusselostus'!B145,'Kustannusarvio|Rakennusselostus'!C145),":","")</f>
        <v>Muu kustannus</v>
      </c>
      <c r="C150" s="196">
        <f>'Kustannusarvio|Rakennusselostus'!D145</f>
        <v>0</v>
      </c>
      <c r="D150" s="195">
        <f>'Kustannusarvio|Rakennusselostus'!E145</f>
        <v>0</v>
      </c>
      <c r="E150" s="195">
        <f>'Kustannusarvio|Rakennusselostus'!F145</f>
        <v>0</v>
      </c>
      <c r="F150" s="195">
        <f>'Kustannusarvio|Rakennusselostus'!G145</f>
        <v>0</v>
      </c>
      <c r="G150" s="198">
        <f t="shared" si="4"/>
        <v>0</v>
      </c>
      <c r="H150" s="195">
        <f>'Kustannusarvio|Rakennusselostus'!I145</f>
        <v>0</v>
      </c>
      <c r="I150" s="195">
        <f>'Kustannusarvio|Rakennusselostus'!J145</f>
        <v>0</v>
      </c>
      <c r="J150" s="195">
        <f>'Kustannusarvio|Rakennusselostus'!K145</f>
        <v>0</v>
      </c>
      <c r="K150" s="198">
        <f t="shared" si="5"/>
        <v>0</v>
      </c>
      <c r="L150" s="1"/>
    </row>
    <row r="151" spans="1:14" x14ac:dyDescent="0.35">
      <c r="A151" s="19"/>
      <c r="B151" s="293" t="str">
        <f>SUBSTITUTE(IF('Kustannusarvio|Rakennusselostus'!C146="",'Kustannusarvio|Rakennusselostus'!B146,'Kustannusarvio|Rakennusselostus'!C146),":","")</f>
        <v>Muu kustannus</v>
      </c>
      <c r="C151" s="196">
        <f>'Kustannusarvio|Rakennusselostus'!D146</f>
        <v>0</v>
      </c>
      <c r="D151" s="195">
        <f>'Kustannusarvio|Rakennusselostus'!E146</f>
        <v>0</v>
      </c>
      <c r="E151" s="195">
        <f>'Kustannusarvio|Rakennusselostus'!F146</f>
        <v>0</v>
      </c>
      <c r="F151" s="195">
        <f>'Kustannusarvio|Rakennusselostus'!G146</f>
        <v>0</v>
      </c>
      <c r="G151" s="198">
        <f t="shared" si="4"/>
        <v>0</v>
      </c>
      <c r="H151" s="195"/>
      <c r="I151" s="195">
        <f>'Kustannusarvio|Rakennusselostus'!J146</f>
        <v>0</v>
      </c>
      <c r="J151" s="195">
        <f>'Kustannusarvio|Rakennusselostus'!K146</f>
        <v>0</v>
      </c>
      <c r="K151" s="198">
        <f t="shared" si="5"/>
        <v>0</v>
      </c>
      <c r="L151" s="1"/>
    </row>
    <row r="152" spans="1:14" ht="15" thickBot="1" x14ac:dyDescent="0.4">
      <c r="A152" s="17"/>
      <c r="B152" s="293" t="str">
        <f>SUBSTITUTE(IF('Kustannusarvio|Rakennusselostus'!C147="",'Kustannusarvio|Rakennusselostus'!B147,'Kustannusarvio|Rakennusselostus'!C147),":","")</f>
        <v>Muu kustannus</v>
      </c>
      <c r="C152" s="259">
        <f>'Kustannusarvio|Rakennusselostus'!D147</f>
        <v>0</v>
      </c>
      <c r="D152" s="199">
        <f>'Kustannusarvio|Rakennusselostus'!E147</f>
        <v>0</v>
      </c>
      <c r="E152" s="199">
        <f>'Kustannusarvio|Rakennusselostus'!F147</f>
        <v>0</v>
      </c>
      <c r="F152" s="199">
        <f>'Kustannusarvio|Rakennusselostus'!G147</f>
        <v>0</v>
      </c>
      <c r="G152" s="252">
        <f t="shared" si="4"/>
        <v>0</v>
      </c>
      <c r="H152" s="199">
        <f>'Kustannusarvio|Rakennusselostus'!I147</f>
        <v>0</v>
      </c>
      <c r="I152" s="199">
        <f>'Kustannusarvio|Rakennusselostus'!J147</f>
        <v>0</v>
      </c>
      <c r="J152" s="199">
        <f>'Kustannusarvio|Rakennusselostus'!K147</f>
        <v>0</v>
      </c>
      <c r="K152" s="198">
        <f t="shared" si="5"/>
        <v>0</v>
      </c>
      <c r="L152" s="1"/>
    </row>
    <row r="153" spans="1:14" ht="15" thickTop="1" x14ac:dyDescent="0.35">
      <c r="F153" s="151" t="s">
        <v>197</v>
      </c>
      <c r="G153" s="119">
        <f>SUM(G13:G152)</f>
        <v>0</v>
      </c>
      <c r="I153" s="1"/>
      <c r="J153" s="240" t="s">
        <v>198</v>
      </c>
      <c r="K153" s="241">
        <f>SUM(K13:K152)</f>
        <v>0</v>
      </c>
      <c r="L153" s="1"/>
    </row>
    <row r="154" spans="1:14" x14ac:dyDescent="0.35">
      <c r="B154" s="65"/>
      <c r="J154" s="152" t="s">
        <v>206</v>
      </c>
      <c r="K154" s="119">
        <f>'Kustannusarvio|Rakennusselostus'!P148</f>
        <v>0</v>
      </c>
      <c r="L154" s="1"/>
    </row>
    <row r="155" spans="1:14" x14ac:dyDescent="0.35">
      <c r="B155" s="75"/>
      <c r="J155" s="153"/>
      <c r="K155" s="119"/>
      <c r="L155" s="1"/>
    </row>
    <row r="156" spans="1:14" x14ac:dyDescent="0.35">
      <c r="B156" s="75"/>
      <c r="J156" s="1"/>
      <c r="K156" s="1"/>
      <c r="L156" s="1"/>
    </row>
    <row r="157" spans="1:14" x14ac:dyDescent="0.35">
      <c r="B157" s="75"/>
      <c r="H157" s="213" t="s">
        <v>20</v>
      </c>
      <c r="L157" s="109"/>
    </row>
    <row r="158" spans="1:14" x14ac:dyDescent="0.35">
      <c r="B158" s="75"/>
      <c r="C158" s="97"/>
      <c r="E158" s="1"/>
      <c r="F158" s="1"/>
      <c r="G158" s="214"/>
      <c r="H158" s="216" t="s">
        <v>209</v>
      </c>
      <c r="I158" s="223"/>
      <c r="J158" s="237">
        <f>'Kustannusarvio|Rakennusselostus'!K152</f>
        <v>0.65</v>
      </c>
      <c r="K158" s="64">
        <f>K161*J158</f>
        <v>0</v>
      </c>
    </row>
    <row r="159" spans="1:14" ht="14.5" customHeight="1" x14ac:dyDescent="0.35">
      <c r="B159" s="69" t="s">
        <v>27</v>
      </c>
      <c r="G159" s="215"/>
      <c r="H159" s="216" t="s">
        <v>210</v>
      </c>
      <c r="I159" s="223"/>
      <c r="J159" s="237">
        <f>'Kustannusarvio|Rakennusselostus'!K153</f>
        <v>0</v>
      </c>
      <c r="K159" s="225">
        <f>K161*J159</f>
        <v>0</v>
      </c>
    </row>
    <row r="160" spans="1:14" ht="14.5" customHeight="1" x14ac:dyDescent="0.35">
      <c r="B160" s="69" t="s">
        <v>28</v>
      </c>
      <c r="G160" s="215"/>
      <c r="H160" s="216" t="s">
        <v>16</v>
      </c>
      <c r="I160" s="223"/>
      <c r="J160" s="237">
        <f>'Kustannusarvio|Rakennusselostus'!K154</f>
        <v>0.35</v>
      </c>
      <c r="K160" s="129">
        <f>K161*J160</f>
        <v>0</v>
      </c>
      <c r="M160" s="67">
        <f>K160</f>
        <v>0</v>
      </c>
      <c r="N160" s="230" t="s">
        <v>212</v>
      </c>
    </row>
    <row r="161" spans="2:14" x14ac:dyDescent="0.35">
      <c r="B161" s="71" t="s">
        <v>201</v>
      </c>
      <c r="H161" s="222" t="s">
        <v>17</v>
      </c>
      <c r="J161" s="221">
        <f>SUM(J158:J160)</f>
        <v>1</v>
      </c>
      <c r="K161" s="68">
        <f>'Kustannusarvio|Rakennusselostus'!L148+'Kustannusarvio|Rakennusselostus'!P148</f>
        <v>0</v>
      </c>
      <c r="M161" s="226">
        <f>'Kustannusarvio|Rakennusselostus'!P148</f>
        <v>0</v>
      </c>
      <c r="N161" s="230" t="s">
        <v>215</v>
      </c>
    </row>
    <row r="162" spans="2:14" x14ac:dyDescent="0.35">
      <c r="B162" s="71" t="s">
        <v>26</v>
      </c>
      <c r="J162" s="1"/>
      <c r="K162" s="1"/>
      <c r="L162" s="1"/>
      <c r="M162" s="229">
        <f>M160-M161</f>
        <v>0</v>
      </c>
      <c r="N162" s="156" t="s">
        <v>216</v>
      </c>
    </row>
    <row r="163" spans="2:14" x14ac:dyDescent="0.35">
      <c r="B163" s="69" t="s">
        <v>19</v>
      </c>
      <c r="C163" s="1"/>
      <c r="D163" s="1"/>
      <c r="E163" s="1"/>
      <c r="F163" s="1"/>
      <c r="J163" s="1"/>
      <c r="K163" s="1"/>
      <c r="L163" s="1"/>
    </row>
    <row r="164" spans="2:14" x14ac:dyDescent="0.35">
      <c r="B164" s="69" t="s">
        <v>22</v>
      </c>
      <c r="F164" s="1"/>
      <c r="H164" s="1"/>
      <c r="I164" s="1"/>
      <c r="J164" s="1"/>
    </row>
    <row r="165" spans="2:14" x14ac:dyDescent="0.35">
      <c r="B165" s="71" t="s">
        <v>25</v>
      </c>
      <c r="G165" s="1"/>
      <c r="H165" s="238" t="s">
        <v>217</v>
      </c>
      <c r="I165" s="239"/>
      <c r="J165" s="239"/>
      <c r="K165" s="105"/>
    </row>
    <row r="166" spans="2:14" x14ac:dyDescent="0.35">
      <c r="B166" s="69" t="s">
        <v>23</v>
      </c>
      <c r="G166" s="1"/>
      <c r="H166" s="224" t="s">
        <v>53</v>
      </c>
      <c r="I166" s="227"/>
      <c r="J166" s="130"/>
      <c r="K166" s="70">
        <f>K158</f>
        <v>0</v>
      </c>
    </row>
    <row r="167" spans="2:14" x14ac:dyDescent="0.35">
      <c r="B167" s="69" t="s">
        <v>24</v>
      </c>
      <c r="H167" s="224" t="s">
        <v>54</v>
      </c>
      <c r="I167" s="227"/>
      <c r="J167" s="130"/>
      <c r="K167" s="226">
        <f>K159</f>
        <v>0</v>
      </c>
    </row>
    <row r="168" spans="2:14" x14ac:dyDescent="0.35">
      <c r="B168" s="71" t="s">
        <v>65</v>
      </c>
      <c r="G168" s="1"/>
      <c r="H168" s="224" t="s">
        <v>167</v>
      </c>
      <c r="I168" s="227"/>
      <c r="J168" s="130"/>
      <c r="K168" s="72">
        <f>SUM(K166:K167)</f>
        <v>0</v>
      </c>
    </row>
    <row r="169" spans="2:14" x14ac:dyDescent="0.35">
      <c r="B169" s="302"/>
      <c r="G169" s="1"/>
      <c r="H169" s="224" t="s">
        <v>55</v>
      </c>
      <c r="I169" s="227"/>
      <c r="J169" s="130"/>
      <c r="K169" s="72">
        <f>M162</f>
        <v>0</v>
      </c>
    </row>
    <row r="170" spans="2:14" x14ac:dyDescent="0.35">
      <c r="B170" s="302"/>
      <c r="G170" s="1"/>
      <c r="H170" s="224" t="s">
        <v>59</v>
      </c>
      <c r="I170" s="227"/>
      <c r="J170" s="130"/>
      <c r="K170" s="226">
        <f>M161</f>
        <v>0</v>
      </c>
    </row>
    <row r="171" spans="2:14" x14ac:dyDescent="0.35">
      <c r="B171" s="302"/>
      <c r="H171" s="224" t="s">
        <v>57</v>
      </c>
      <c r="I171" s="227"/>
      <c r="J171" s="130"/>
      <c r="K171" s="67">
        <f>K169+K170</f>
        <v>0</v>
      </c>
    </row>
    <row r="172" spans="2:14" x14ac:dyDescent="0.35">
      <c r="B172" s="302"/>
      <c r="G172" s="1"/>
      <c r="H172" s="224" t="s">
        <v>56</v>
      </c>
      <c r="I172" s="227"/>
      <c r="J172" s="130"/>
      <c r="K172" s="72">
        <f>K166+K167+K169+K170</f>
        <v>0</v>
      </c>
    </row>
    <row r="173" spans="2:14" x14ac:dyDescent="0.35">
      <c r="B173" s="302"/>
      <c r="H173" s="224" t="s">
        <v>168</v>
      </c>
      <c r="I173" s="227"/>
      <c r="J173" s="130"/>
      <c r="K173" s="72">
        <f>'Kustannusarvio|Rakennusselostus'!L166</f>
        <v>0</v>
      </c>
    </row>
    <row r="174" spans="2:14" x14ac:dyDescent="0.35">
      <c r="B174" s="302"/>
      <c r="G174" s="1"/>
      <c r="H174" s="224" t="s">
        <v>58</v>
      </c>
      <c r="I174" s="227"/>
      <c r="J174" s="130"/>
      <c r="K174" s="68">
        <f>K172-K173</f>
        <v>0</v>
      </c>
    </row>
    <row r="175" spans="2:14" x14ac:dyDescent="0.35">
      <c r="B175" s="302"/>
      <c r="G175" s="1"/>
      <c r="H175" s="1"/>
    </row>
    <row r="176" spans="2:14" x14ac:dyDescent="0.35">
      <c r="B176" s="302"/>
      <c r="F176" s="1"/>
      <c r="G176" s="1"/>
      <c r="H176" s="1"/>
      <c r="I176" s="1"/>
      <c r="J176" s="1"/>
      <c r="K176" s="1"/>
      <c r="L176" s="1"/>
    </row>
    <row r="177" spans="1:12" x14ac:dyDescent="0.35">
      <c r="B177" s="302"/>
      <c r="F177" s="1"/>
      <c r="G177" s="1"/>
      <c r="H177" s="1"/>
      <c r="J177" s="1"/>
      <c r="K177" s="1"/>
      <c r="L177" s="1"/>
    </row>
    <row r="178" spans="1:12" x14ac:dyDescent="0.35">
      <c r="B178" s="302"/>
      <c r="F178" s="1"/>
      <c r="G178" s="1"/>
      <c r="H178" s="1"/>
      <c r="J178" s="1"/>
      <c r="K178" s="1"/>
      <c r="L178" s="1"/>
    </row>
    <row r="179" spans="1:12" x14ac:dyDescent="0.35">
      <c r="B179" s="302"/>
      <c r="F179" s="1"/>
      <c r="G179" s="1"/>
      <c r="H179" s="1"/>
      <c r="J179" s="1"/>
      <c r="K179" s="1"/>
      <c r="L179" s="1"/>
    </row>
    <row r="180" spans="1:12" x14ac:dyDescent="0.35">
      <c r="B180" s="302"/>
      <c r="F180" s="1"/>
      <c r="G180" s="1"/>
      <c r="H180" s="1"/>
      <c r="J180" s="1"/>
      <c r="K180" s="1"/>
      <c r="L180" s="1"/>
    </row>
    <row r="181" spans="1:12" x14ac:dyDescent="0.35">
      <c r="B181" s="302"/>
      <c r="F181" s="1"/>
      <c r="G181" s="1"/>
      <c r="H181" s="1"/>
      <c r="J181" s="1"/>
      <c r="K181" s="1"/>
      <c r="L181" s="1"/>
    </row>
    <row r="182" spans="1:12" x14ac:dyDescent="0.35">
      <c r="B182" s="302"/>
      <c r="F182" s="1"/>
      <c r="G182" s="1"/>
      <c r="H182" s="1"/>
      <c r="J182" s="1"/>
      <c r="K182" s="1"/>
      <c r="L182" s="1"/>
    </row>
    <row r="183" spans="1:12" x14ac:dyDescent="0.35">
      <c r="A183" s="1"/>
      <c r="B183" s="302"/>
      <c r="F183" s="1"/>
      <c r="G183" s="1"/>
      <c r="H183" s="1"/>
      <c r="J183" s="1"/>
      <c r="K183" s="1"/>
      <c r="L183" s="1"/>
    </row>
    <row r="184" spans="1:12" x14ac:dyDescent="0.35">
      <c r="A184" s="1"/>
      <c r="B184" s="302"/>
      <c r="F184" s="1"/>
      <c r="G184" s="1"/>
      <c r="H184" s="1"/>
      <c r="J184" s="1"/>
      <c r="K184" s="1"/>
      <c r="L184" s="1"/>
    </row>
    <row r="185" spans="1:12" x14ac:dyDescent="0.35">
      <c r="A185" s="1"/>
      <c r="B185" s="302"/>
      <c r="F185" s="1"/>
      <c r="G185" s="1"/>
      <c r="H185" s="1"/>
      <c r="J185" s="1"/>
      <c r="K185" s="1"/>
      <c r="L185" s="1"/>
    </row>
    <row r="186" spans="1:12" x14ac:dyDescent="0.35">
      <c r="A186" s="1"/>
      <c r="B186" s="302"/>
      <c r="F186" s="1"/>
      <c r="G186" s="1"/>
      <c r="H186" s="1"/>
      <c r="J186" s="1"/>
      <c r="K186" s="1"/>
      <c r="L186" s="1"/>
    </row>
    <row r="187" spans="1:12" x14ac:dyDescent="0.35">
      <c r="A187" s="1"/>
      <c r="B187" s="302"/>
      <c r="F187" s="1"/>
      <c r="G187" s="1"/>
      <c r="H187" s="1"/>
      <c r="J187" s="1"/>
      <c r="K187" s="1"/>
      <c r="L187" s="1"/>
    </row>
    <row r="188" spans="1:12" x14ac:dyDescent="0.35">
      <c r="A188" s="1"/>
      <c r="B188" s="302"/>
      <c r="F188" s="1"/>
      <c r="G188" s="1"/>
      <c r="H188" s="1"/>
      <c r="J188" s="1"/>
      <c r="K188" s="1"/>
      <c r="L188" s="1"/>
    </row>
    <row r="189" spans="1:12" x14ac:dyDescent="0.35">
      <c r="A189" s="1"/>
      <c r="B189" s="302"/>
      <c r="F189" s="1"/>
      <c r="G189" s="1"/>
      <c r="H189" s="1"/>
      <c r="J189" s="1"/>
      <c r="K189" s="1"/>
      <c r="L189" s="1"/>
    </row>
    <row r="190" spans="1:12" x14ac:dyDescent="0.35">
      <c r="A190" s="1"/>
      <c r="B190" s="302"/>
      <c r="F190" s="1"/>
      <c r="G190" s="1"/>
      <c r="H190" s="1"/>
      <c r="J190" s="1"/>
      <c r="K190" s="1"/>
      <c r="L190" s="1"/>
    </row>
    <row r="191" spans="1:12" x14ac:dyDescent="0.35">
      <c r="A191" s="1"/>
      <c r="B191" s="302"/>
      <c r="F191" s="1"/>
      <c r="G191" s="1"/>
      <c r="H191" s="1"/>
      <c r="J191" s="1"/>
      <c r="K191" s="1"/>
      <c r="L191" s="1"/>
    </row>
    <row r="192" spans="1:12" x14ac:dyDescent="0.35">
      <c r="B192" s="302"/>
      <c r="F192" s="1"/>
      <c r="G192" s="1"/>
      <c r="H192" s="1"/>
      <c r="J192" s="1"/>
      <c r="K192" s="1"/>
      <c r="L192" s="1"/>
    </row>
    <row r="193" spans="2:12" x14ac:dyDescent="0.35">
      <c r="B193" s="302"/>
      <c r="F193" s="1"/>
      <c r="G193" s="1"/>
      <c r="H193" s="1"/>
      <c r="J193" s="1"/>
      <c r="K193" s="1"/>
      <c r="L193" s="1"/>
    </row>
    <row r="194" spans="2:12" x14ac:dyDescent="0.35">
      <c r="B194" s="302"/>
      <c r="F194" s="1"/>
      <c r="G194" s="1"/>
      <c r="H194" s="1"/>
      <c r="J194" s="1"/>
      <c r="K194" s="1"/>
      <c r="L194" s="1"/>
    </row>
    <row r="195" spans="2:12" x14ac:dyDescent="0.35">
      <c r="B195" s="302"/>
      <c r="F195" s="1"/>
      <c r="G195" s="1"/>
      <c r="H195" s="1"/>
      <c r="J195" s="1"/>
      <c r="K195" s="1"/>
      <c r="L195" s="1"/>
    </row>
    <row r="196" spans="2:12" x14ac:dyDescent="0.35">
      <c r="B196" s="302"/>
      <c r="F196" s="1"/>
      <c r="G196" s="1"/>
      <c r="H196" s="1"/>
      <c r="J196" s="1"/>
      <c r="K196" s="1"/>
      <c r="L196" s="1"/>
    </row>
    <row r="197" spans="2:12" x14ac:dyDescent="0.35">
      <c r="B197" s="302"/>
      <c r="F197" s="1"/>
      <c r="G197" s="1"/>
      <c r="H197" s="1"/>
      <c r="J197" s="1"/>
      <c r="K197" s="1"/>
      <c r="L197" s="1"/>
    </row>
    <row r="198" spans="2:12" x14ac:dyDescent="0.35">
      <c r="B198" s="302"/>
      <c r="F198" s="1"/>
      <c r="G198" s="1"/>
      <c r="H198" s="1"/>
      <c r="J198" s="1"/>
      <c r="K198" s="1"/>
      <c r="L198" s="1"/>
    </row>
    <row r="199" spans="2:12" x14ac:dyDescent="0.35">
      <c r="B199" s="302"/>
      <c r="F199" s="1"/>
      <c r="G199" s="1"/>
      <c r="H199" s="1"/>
      <c r="J199" s="1"/>
      <c r="K199" s="1"/>
      <c r="L199" s="1"/>
    </row>
  </sheetData>
  <sheetProtection algorithmName="SHA-512" hashValue="hdruyjtDKQ3Rwp5R/fX4V1/fI7F8cGar6ikVUrXHrB0MZEjwqiNnTkyQATLcGN1ynIi60asA91O4Ry5mn9hxKQ==" saltValue="6IKahyv2mQLiZ35mCLgRRg==" spinCount="100000" sheet="1" objects="1" scenarios="1" formatCells="0" selectLockedCells="1"/>
  <mergeCells count="7">
    <mergeCell ref="C10:E10"/>
    <mergeCell ref="D4:F4"/>
    <mergeCell ref="D5:G5"/>
    <mergeCell ref="D7:G7"/>
    <mergeCell ref="D2:F2"/>
    <mergeCell ref="D3:F3"/>
    <mergeCell ref="D6:F6"/>
  </mergeCells>
  <conditionalFormatting sqref="C13:C22">
    <cfRule type="cellIs" dxfId="17" priority="12" operator="greaterThan">
      <formula>0</formula>
    </cfRule>
  </conditionalFormatting>
  <conditionalFormatting sqref="C25:C42">
    <cfRule type="cellIs" dxfId="16" priority="11" operator="greaterThan">
      <formula>0</formula>
    </cfRule>
  </conditionalFormatting>
  <conditionalFormatting sqref="C45:C50">
    <cfRule type="cellIs" dxfId="15" priority="10" operator="greaterThan">
      <formula>0</formula>
    </cfRule>
  </conditionalFormatting>
  <conditionalFormatting sqref="C52:C65">
    <cfRule type="cellIs" dxfId="14" priority="9" operator="greaterThan">
      <formula>0</formula>
    </cfRule>
  </conditionalFormatting>
  <conditionalFormatting sqref="C67:C77">
    <cfRule type="cellIs" dxfId="13" priority="8" operator="greaterThan">
      <formula>0</formula>
    </cfRule>
  </conditionalFormatting>
  <conditionalFormatting sqref="C79:C84">
    <cfRule type="cellIs" dxfId="12" priority="7" operator="greaterThan">
      <formula>0</formula>
    </cfRule>
  </conditionalFormatting>
  <conditionalFormatting sqref="C86:C92">
    <cfRule type="cellIs" dxfId="11" priority="6" operator="greaterThan">
      <formula>0</formula>
    </cfRule>
  </conditionalFormatting>
  <conditionalFormatting sqref="C94:C100">
    <cfRule type="cellIs" dxfId="10" priority="5" operator="greaterThan">
      <formula>0</formula>
    </cfRule>
  </conditionalFormatting>
  <conditionalFormatting sqref="C102:C112">
    <cfRule type="cellIs" dxfId="9" priority="4" operator="greaterThan">
      <formula>0</formula>
    </cfRule>
  </conditionalFormatting>
  <conditionalFormatting sqref="C114:C120">
    <cfRule type="cellIs" dxfId="8" priority="3" operator="greaterThan">
      <formula>0</formula>
    </cfRule>
  </conditionalFormatting>
  <conditionalFormatting sqref="C123:C139">
    <cfRule type="cellIs" dxfId="7" priority="2" operator="greaterThan">
      <formula>0</formula>
    </cfRule>
  </conditionalFormatting>
  <conditionalFormatting sqref="C141:C152">
    <cfRule type="cellIs" dxfId="6" priority="1" operator="greaterThan">
      <formula>0</formula>
    </cfRule>
  </conditionalFormatting>
  <conditionalFormatting sqref="G13:G152">
    <cfRule type="cellIs" dxfId="5" priority="14" operator="greaterThan">
      <formula>0</formula>
    </cfRule>
  </conditionalFormatting>
  <conditionalFormatting sqref="K13:K152">
    <cfRule type="cellIs" dxfId="4" priority="13" operator="greaterThan">
      <formula>0</formula>
    </cfRule>
  </conditionalFormatting>
  <conditionalFormatting sqref="M161">
    <cfRule type="cellIs" dxfId="3" priority="23" operator="greaterThan">
      <formula>$K$160</formula>
    </cfRule>
  </conditionalFormatting>
  <conditionalFormatting sqref="M162">
    <cfRule type="cellIs" dxfId="2" priority="16" operator="lessThan">
      <formula>0</formula>
    </cfRule>
    <cfRule type="cellIs" dxfId="1" priority="17" operator="greaterThan">
      <formula>2346.09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>&amp;L&amp;G&amp;C&amp;G</oddHead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D620-52F0-438C-AB47-91243090A6CF}">
  <sheetPr codeName="Taul4">
    <tabColor rgb="FFFFFF00"/>
  </sheetPr>
  <dimension ref="A1:H149"/>
  <sheetViews>
    <sheetView showGridLines="0" showWhiteSpace="0" zoomScaleNormal="100" workbookViewId="0">
      <selection activeCell="G8" sqref="G8"/>
    </sheetView>
  </sheetViews>
  <sheetFormatPr defaultRowHeight="14.5" x14ac:dyDescent="0.35"/>
  <cols>
    <col min="1" max="1" width="1.1796875" customWidth="1"/>
    <col min="2" max="2" width="49.7265625" style="31" customWidth="1"/>
    <col min="3" max="4" width="9.1796875" customWidth="1"/>
    <col min="5" max="5" width="11.81640625" customWidth="1"/>
    <col min="6" max="6" width="6.54296875" customWidth="1"/>
    <col min="7" max="7" width="64.453125" style="31" customWidth="1"/>
    <col min="8" max="8" width="0.81640625" customWidth="1"/>
  </cols>
  <sheetData>
    <row r="1" spans="1:8" x14ac:dyDescent="0.35">
      <c r="A1" s="4"/>
      <c r="B1" s="303" t="s">
        <v>186</v>
      </c>
      <c r="C1" s="344">
        <f>'Hankkeen tiedot'!D13</f>
        <v>0</v>
      </c>
      <c r="D1" s="344"/>
      <c r="E1" s="344"/>
      <c r="F1" s="344"/>
      <c r="G1" s="344"/>
      <c r="H1" s="19"/>
    </row>
    <row r="2" spans="1:8" x14ac:dyDescent="0.35">
      <c r="A2" s="5"/>
      <c r="B2" s="303" t="s">
        <v>187</v>
      </c>
      <c r="C2" s="344">
        <f>'Hankkeen tiedot'!D14</f>
        <v>0</v>
      </c>
      <c r="D2" s="344"/>
      <c r="E2" s="344"/>
      <c r="F2" s="344"/>
      <c r="G2" s="344"/>
      <c r="H2" s="19"/>
    </row>
    <row r="3" spans="1:8" x14ac:dyDescent="0.35">
      <c r="A3" s="5"/>
      <c r="B3" s="303" t="s">
        <v>188</v>
      </c>
      <c r="C3" s="344">
        <f>'Hankkeen tiedot'!D15</f>
        <v>0</v>
      </c>
      <c r="D3" s="344"/>
      <c r="E3" s="344"/>
      <c r="F3" s="344"/>
      <c r="G3" s="344"/>
      <c r="H3" s="19"/>
    </row>
    <row r="4" spans="1:8" x14ac:dyDescent="0.35">
      <c r="A4" s="5"/>
      <c r="B4" s="303" t="s">
        <v>189</v>
      </c>
      <c r="C4" s="344">
        <f>'Hankkeen tiedot'!D16</f>
        <v>0</v>
      </c>
      <c r="D4" s="344"/>
      <c r="E4" s="344"/>
      <c r="F4" s="344"/>
      <c r="G4" s="344"/>
      <c r="H4" s="19"/>
    </row>
    <row r="5" spans="1:8" ht="25.5" customHeight="1" x14ac:dyDescent="0.35">
      <c r="A5" s="5"/>
      <c r="B5" s="345" t="s">
        <v>50</v>
      </c>
      <c r="C5" s="345"/>
      <c r="D5" s="345"/>
      <c r="E5" s="345"/>
      <c r="F5" s="345"/>
      <c r="G5" s="345"/>
      <c r="H5" s="19"/>
    </row>
    <row r="6" spans="1:8" ht="48" x14ac:dyDescent="0.35">
      <c r="A6" s="33"/>
      <c r="B6" s="34" t="s">
        <v>64</v>
      </c>
      <c r="C6" s="34" t="s">
        <v>202</v>
      </c>
      <c r="D6" s="34" t="s">
        <v>2</v>
      </c>
      <c r="E6" s="35" t="s">
        <v>3</v>
      </c>
      <c r="F6" s="34" t="s">
        <v>166</v>
      </c>
      <c r="G6" s="307" t="s">
        <v>63</v>
      </c>
      <c r="H6" s="19"/>
    </row>
    <row r="7" spans="1:8" x14ac:dyDescent="0.35">
      <c r="A7" s="28" t="s">
        <v>138</v>
      </c>
      <c r="B7" s="289"/>
      <c r="C7" s="256"/>
      <c r="D7" s="110"/>
      <c r="E7" s="256"/>
      <c r="F7" s="256"/>
      <c r="G7" s="308"/>
      <c r="H7" s="19"/>
    </row>
    <row r="8" spans="1:8" x14ac:dyDescent="0.35">
      <c r="A8" s="19"/>
      <c r="B8" s="290" t="s">
        <v>135</v>
      </c>
      <c r="C8" s="202">
        <f>'Kustannusarvio|Rakennusselostus'!N8</f>
        <v>0</v>
      </c>
      <c r="D8" s="202">
        <f>'Kustannusarvio|Rakennusselostus'!O8</f>
        <v>0</v>
      </c>
      <c r="E8" s="205">
        <f>C8*20+D8*60</f>
        <v>0</v>
      </c>
      <c r="F8" s="203">
        <f>'Kustannusarvio|Rakennusselostus'!Q8</f>
        <v>0</v>
      </c>
      <c r="G8" s="204">
        <f>'Kustannusarvio|Rakennusselostus'!R8</f>
        <v>0</v>
      </c>
      <c r="H8" s="19"/>
    </row>
    <row r="9" spans="1:8" x14ac:dyDescent="0.35">
      <c r="A9" s="19"/>
      <c r="B9" s="291" t="s">
        <v>136</v>
      </c>
      <c r="C9" s="174">
        <f>'Kustannusarvio|Rakennusselostus'!N9</f>
        <v>0</v>
      </c>
      <c r="D9" s="174">
        <f>'Kustannusarvio|Rakennusselostus'!O9</f>
        <v>0</v>
      </c>
      <c r="E9" s="205">
        <f t="shared" ref="E9:E72" si="0">C9*20+D9*60</f>
        <v>0</v>
      </c>
      <c r="F9" s="206">
        <f>'Kustannusarvio|Rakennusselostus'!Q9</f>
        <v>0</v>
      </c>
      <c r="G9" s="207">
        <f>'Kustannusarvio|Rakennusselostus'!R9</f>
        <v>0</v>
      </c>
      <c r="H9" s="19"/>
    </row>
    <row r="10" spans="1:8" x14ac:dyDescent="0.35">
      <c r="A10" s="19"/>
      <c r="B10" s="291" t="s">
        <v>137</v>
      </c>
      <c r="C10" s="174">
        <f>'Kustannusarvio|Rakennusselostus'!N10</f>
        <v>0</v>
      </c>
      <c r="D10" s="174">
        <f>'Kustannusarvio|Rakennusselostus'!O10</f>
        <v>0</v>
      </c>
      <c r="E10" s="205">
        <f t="shared" si="0"/>
        <v>0</v>
      </c>
      <c r="F10" s="206">
        <f>'Kustannusarvio|Rakennusselostus'!Q10</f>
        <v>0</v>
      </c>
      <c r="G10" s="207">
        <f>'Kustannusarvio|Rakennusselostus'!R10</f>
        <v>0</v>
      </c>
      <c r="H10" s="19"/>
    </row>
    <row r="11" spans="1:8" x14ac:dyDescent="0.35">
      <c r="A11" s="19"/>
      <c r="B11" s="291" t="s">
        <v>139</v>
      </c>
      <c r="C11" s="174">
        <f>'Kustannusarvio|Rakennusselostus'!N11</f>
        <v>0</v>
      </c>
      <c r="D11" s="174">
        <f>'Kustannusarvio|Rakennusselostus'!O11</f>
        <v>0</v>
      </c>
      <c r="E11" s="205">
        <f t="shared" si="0"/>
        <v>0</v>
      </c>
      <c r="F11" s="206">
        <f>'Kustannusarvio|Rakennusselostus'!Q11</f>
        <v>0</v>
      </c>
      <c r="G11" s="207">
        <f>'Kustannusarvio|Rakennusselostus'!R11</f>
        <v>0</v>
      </c>
      <c r="H11" s="19"/>
    </row>
    <row r="12" spans="1:8" x14ac:dyDescent="0.35">
      <c r="A12" s="19"/>
      <c r="B12" s="291" t="s">
        <v>11</v>
      </c>
      <c r="C12" s="174">
        <f>'Kustannusarvio|Rakennusselostus'!N12</f>
        <v>0</v>
      </c>
      <c r="D12" s="174">
        <f>'Kustannusarvio|Rakennusselostus'!O12</f>
        <v>0</v>
      </c>
      <c r="E12" s="205">
        <f t="shared" si="0"/>
        <v>0</v>
      </c>
      <c r="F12" s="206">
        <f>'Kustannusarvio|Rakennusselostus'!Q12</f>
        <v>0</v>
      </c>
      <c r="G12" s="207">
        <f>'Kustannusarvio|Rakennusselostus'!R12</f>
        <v>0</v>
      </c>
      <c r="H12" s="19"/>
    </row>
    <row r="13" spans="1:8" x14ac:dyDescent="0.35">
      <c r="A13" s="19"/>
      <c r="B13" s="291" t="s">
        <v>12</v>
      </c>
      <c r="C13" s="174">
        <f>'Kustannusarvio|Rakennusselostus'!N13</f>
        <v>0</v>
      </c>
      <c r="D13" s="174">
        <f>'Kustannusarvio|Rakennusselostus'!O13</f>
        <v>0</v>
      </c>
      <c r="E13" s="205">
        <f t="shared" si="0"/>
        <v>0</v>
      </c>
      <c r="F13" s="206">
        <f>'Kustannusarvio|Rakennusselostus'!Q13</f>
        <v>0</v>
      </c>
      <c r="G13" s="207">
        <f>'Kustannusarvio|Rakennusselostus'!R13</f>
        <v>0</v>
      </c>
      <c r="H13" s="19"/>
    </row>
    <row r="14" spans="1:8" x14ac:dyDescent="0.35">
      <c r="A14" s="19"/>
      <c r="B14" s="291" t="s">
        <v>13</v>
      </c>
      <c r="C14" s="174">
        <f>'Kustannusarvio|Rakennusselostus'!N14</f>
        <v>0</v>
      </c>
      <c r="D14" s="174">
        <f>'Kustannusarvio|Rakennusselostus'!O14</f>
        <v>0</v>
      </c>
      <c r="E14" s="205">
        <f t="shared" si="0"/>
        <v>0</v>
      </c>
      <c r="F14" s="206">
        <f>'Kustannusarvio|Rakennusselostus'!Q14</f>
        <v>0</v>
      </c>
      <c r="G14" s="207">
        <f>'Kustannusarvio|Rakennusselostus'!R14</f>
        <v>0</v>
      </c>
      <c r="H14" s="19"/>
    </row>
    <row r="15" spans="1:8" x14ac:dyDescent="0.35">
      <c r="A15" s="19"/>
      <c r="B15" s="291" t="s">
        <v>190</v>
      </c>
      <c r="C15" s="174">
        <f>'Kustannusarvio|Rakennusselostus'!N15</f>
        <v>0</v>
      </c>
      <c r="D15" s="174">
        <f>'Kustannusarvio|Rakennusselostus'!O15</f>
        <v>0</v>
      </c>
      <c r="E15" s="205">
        <f t="shared" si="0"/>
        <v>0</v>
      </c>
      <c r="F15" s="206">
        <f>'Kustannusarvio|Rakennusselostus'!Q15</f>
        <v>0</v>
      </c>
      <c r="G15" s="207">
        <f>'Kustannusarvio|Rakennusselostus'!R15</f>
        <v>0</v>
      </c>
      <c r="H15" s="19"/>
    </row>
    <row r="16" spans="1:8" x14ac:dyDescent="0.35">
      <c r="A16" s="19"/>
      <c r="B16" s="293" t="str">
        <f>SUBSTITUTE(IF('Kustannusarvio|Rakennusselostus'!C16="",'Kustannusarvio|Rakennusselostus'!B16,'Kustannusarvio|Rakennusselostus'!C16),":","")</f>
        <v>Muu maksu</v>
      </c>
      <c r="C16" s="174">
        <f>'Kustannusarvio|Rakennusselostus'!N16</f>
        <v>0</v>
      </c>
      <c r="D16" s="174">
        <f>'Kustannusarvio|Rakennusselostus'!O16</f>
        <v>0</v>
      </c>
      <c r="E16" s="205">
        <f t="shared" si="0"/>
        <v>0</v>
      </c>
      <c r="F16" s="206">
        <f>'Kustannusarvio|Rakennusselostus'!Q16</f>
        <v>0</v>
      </c>
      <c r="G16" s="207">
        <f>'Kustannusarvio|Rakennusselostus'!R16</f>
        <v>0</v>
      </c>
      <c r="H16" s="19"/>
    </row>
    <row r="17" spans="1:8" x14ac:dyDescent="0.35">
      <c r="A17" s="19"/>
      <c r="B17" s="293" t="str">
        <f>SUBSTITUTE(IF('Kustannusarvio|Rakennusselostus'!C17="",'Kustannusarvio|Rakennusselostus'!B17,'Kustannusarvio|Rakennusselostus'!C17),":","")</f>
        <v>Muu maksu</v>
      </c>
      <c r="C17" s="253">
        <f>'Kustannusarvio|Rakennusselostus'!N17</f>
        <v>0</v>
      </c>
      <c r="D17" s="253">
        <f>'Kustannusarvio|Rakennusselostus'!O17</f>
        <v>0</v>
      </c>
      <c r="E17" s="254">
        <f t="shared" si="0"/>
        <v>0</v>
      </c>
      <c r="F17" s="209">
        <f>'Kustannusarvio|Rakennusselostus'!Q17</f>
        <v>0</v>
      </c>
      <c r="G17" s="210">
        <f>'Kustannusarvio|Rakennusselostus'!R17</f>
        <v>0</v>
      </c>
      <c r="H17" s="19"/>
    </row>
    <row r="18" spans="1:8" x14ac:dyDescent="0.35">
      <c r="A18" s="28" t="s">
        <v>67</v>
      </c>
      <c r="B18" s="29"/>
      <c r="C18" s="256"/>
      <c r="D18" s="257"/>
      <c r="E18" s="257"/>
      <c r="F18" s="256"/>
      <c r="G18" s="309"/>
      <c r="H18" s="19"/>
    </row>
    <row r="19" spans="1:8" x14ac:dyDescent="0.35">
      <c r="A19" s="15" t="s">
        <v>98</v>
      </c>
      <c r="B19" s="304"/>
      <c r="C19" s="37"/>
      <c r="D19" s="37"/>
      <c r="E19" s="37"/>
      <c r="F19" s="278"/>
      <c r="G19" s="277"/>
      <c r="H19" s="19"/>
    </row>
    <row r="20" spans="1:8" x14ac:dyDescent="0.35">
      <c r="A20" s="19"/>
      <c r="B20" s="290" t="s">
        <v>69</v>
      </c>
      <c r="C20" s="258">
        <f>'Kustannusarvio|Rakennusselostus'!N20</f>
        <v>0</v>
      </c>
      <c r="D20" s="258">
        <f>'Kustannusarvio|Rakennusselostus'!O20</f>
        <v>0</v>
      </c>
      <c r="E20" s="255">
        <f t="shared" si="0"/>
        <v>0</v>
      </c>
      <c r="F20" s="203">
        <f>'Kustannusarvio|Rakennusselostus'!Q20</f>
        <v>0</v>
      </c>
      <c r="G20" s="204">
        <f>'Kustannusarvio|Rakennusselostus'!R20</f>
        <v>0</v>
      </c>
      <c r="H20" s="19"/>
    </row>
    <row r="21" spans="1:8" x14ac:dyDescent="0.35">
      <c r="A21" s="19"/>
      <c r="B21" s="291" t="s">
        <v>68</v>
      </c>
      <c r="C21" s="174">
        <f>'Kustannusarvio|Rakennusselostus'!N21</f>
        <v>0</v>
      </c>
      <c r="D21" s="174">
        <f>'Kustannusarvio|Rakennusselostus'!O21</f>
        <v>0</v>
      </c>
      <c r="E21" s="205">
        <f t="shared" si="0"/>
        <v>0</v>
      </c>
      <c r="F21" s="206">
        <f>'Kustannusarvio|Rakennusselostus'!Q21</f>
        <v>0</v>
      </c>
      <c r="G21" s="207">
        <f>'Kustannusarvio|Rakennusselostus'!R21</f>
        <v>0</v>
      </c>
      <c r="H21" s="19"/>
    </row>
    <row r="22" spans="1:8" x14ac:dyDescent="0.35">
      <c r="A22" s="19"/>
      <c r="B22" s="291" t="s">
        <v>39</v>
      </c>
      <c r="C22" s="174">
        <f>'Kustannusarvio|Rakennusselostus'!N22</f>
        <v>0</v>
      </c>
      <c r="D22" s="174">
        <f>'Kustannusarvio|Rakennusselostus'!O22</f>
        <v>0</v>
      </c>
      <c r="E22" s="205">
        <f t="shared" si="0"/>
        <v>0</v>
      </c>
      <c r="F22" s="206">
        <f>'Kustannusarvio|Rakennusselostus'!Q22</f>
        <v>0</v>
      </c>
      <c r="G22" s="207">
        <f>'Kustannusarvio|Rakennusselostus'!R22</f>
        <v>0</v>
      </c>
      <c r="H22" s="19"/>
    </row>
    <row r="23" spans="1:8" x14ac:dyDescent="0.35">
      <c r="A23" s="19"/>
      <c r="B23" s="291" t="s">
        <v>40</v>
      </c>
      <c r="C23" s="174">
        <f>'Kustannusarvio|Rakennusselostus'!N23</f>
        <v>0</v>
      </c>
      <c r="D23" s="174">
        <f>'Kustannusarvio|Rakennusselostus'!O23</f>
        <v>0</v>
      </c>
      <c r="E23" s="205">
        <f t="shared" si="0"/>
        <v>0</v>
      </c>
      <c r="F23" s="206">
        <f>'Kustannusarvio|Rakennusselostus'!Q23</f>
        <v>0</v>
      </c>
      <c r="G23" s="207">
        <f>'Kustannusarvio|Rakennusselostus'!R23</f>
        <v>0</v>
      </c>
      <c r="H23" s="19"/>
    </row>
    <row r="24" spans="1:8" x14ac:dyDescent="0.35">
      <c r="A24" s="19"/>
      <c r="B24" s="291" t="s">
        <v>36</v>
      </c>
      <c r="C24" s="174">
        <f>'Kustannusarvio|Rakennusselostus'!N24</f>
        <v>0</v>
      </c>
      <c r="D24" s="174">
        <f>'Kustannusarvio|Rakennusselostus'!O24</f>
        <v>0</v>
      </c>
      <c r="E24" s="205">
        <f t="shared" si="0"/>
        <v>0</v>
      </c>
      <c r="F24" s="206">
        <f>'Kustannusarvio|Rakennusselostus'!Q24</f>
        <v>0</v>
      </c>
      <c r="G24" s="207">
        <f>'Kustannusarvio|Rakennusselostus'!R24</f>
        <v>0</v>
      </c>
      <c r="H24" s="19"/>
    </row>
    <row r="25" spans="1:8" x14ac:dyDescent="0.35">
      <c r="A25" s="19"/>
      <c r="B25" s="291" t="s">
        <v>14</v>
      </c>
      <c r="C25" s="174">
        <f>'Kustannusarvio|Rakennusselostus'!N25</f>
        <v>0</v>
      </c>
      <c r="D25" s="174">
        <f>'Kustannusarvio|Rakennusselostus'!O25</f>
        <v>0</v>
      </c>
      <c r="E25" s="205">
        <f t="shared" si="0"/>
        <v>0</v>
      </c>
      <c r="F25" s="206">
        <f>'Kustannusarvio|Rakennusselostus'!Q25</f>
        <v>0</v>
      </c>
      <c r="G25" s="207">
        <f>'Kustannusarvio|Rakennusselostus'!R25</f>
        <v>0</v>
      </c>
      <c r="H25" s="19"/>
    </row>
    <row r="26" spans="1:8" x14ac:dyDescent="0.35">
      <c r="A26" s="19"/>
      <c r="B26" s="291" t="s">
        <v>15</v>
      </c>
      <c r="C26" s="174">
        <f>'Kustannusarvio|Rakennusselostus'!N26</f>
        <v>0</v>
      </c>
      <c r="D26" s="174">
        <f>'Kustannusarvio|Rakennusselostus'!O26</f>
        <v>0</v>
      </c>
      <c r="E26" s="205">
        <f t="shared" si="0"/>
        <v>0</v>
      </c>
      <c r="F26" s="206">
        <f>'Kustannusarvio|Rakennusselostus'!Q26</f>
        <v>0</v>
      </c>
      <c r="G26" s="207">
        <f>'Kustannusarvio|Rakennusselostus'!R26</f>
        <v>0</v>
      </c>
      <c r="H26" s="19"/>
    </row>
    <row r="27" spans="1:8" x14ac:dyDescent="0.35">
      <c r="A27" s="19"/>
      <c r="B27" s="296" t="s">
        <v>73</v>
      </c>
      <c r="C27" s="174">
        <f>'Kustannusarvio|Rakennusselostus'!N27</f>
        <v>0</v>
      </c>
      <c r="D27" s="174">
        <f>'Kustannusarvio|Rakennusselostus'!O27</f>
        <v>0</v>
      </c>
      <c r="E27" s="205">
        <f t="shared" si="0"/>
        <v>0</v>
      </c>
      <c r="F27" s="206">
        <f>'Kustannusarvio|Rakennusselostus'!Q27</f>
        <v>0</v>
      </c>
      <c r="G27" s="207">
        <f>'Kustannusarvio|Rakennusselostus'!R27</f>
        <v>0</v>
      </c>
      <c r="H27" s="19"/>
    </row>
    <row r="28" spans="1:8" x14ac:dyDescent="0.35">
      <c r="A28" s="19"/>
      <c r="B28" s="291" t="s">
        <v>70</v>
      </c>
      <c r="C28" s="174">
        <f>'Kustannusarvio|Rakennusselostus'!N28</f>
        <v>0</v>
      </c>
      <c r="D28" s="174">
        <f>'Kustannusarvio|Rakennusselostus'!O28</f>
        <v>0</v>
      </c>
      <c r="E28" s="205">
        <f t="shared" si="0"/>
        <v>0</v>
      </c>
      <c r="F28" s="206">
        <f>'Kustannusarvio|Rakennusselostus'!Q28</f>
        <v>0</v>
      </c>
      <c r="G28" s="207">
        <f>'Kustannusarvio|Rakennusselostus'!R28</f>
        <v>0</v>
      </c>
      <c r="H28" s="19"/>
    </row>
    <row r="29" spans="1:8" x14ac:dyDescent="0.35">
      <c r="A29" s="19"/>
      <c r="B29" s="291" t="s">
        <v>71</v>
      </c>
      <c r="C29" s="174">
        <f>'Kustannusarvio|Rakennusselostus'!N29</f>
        <v>0</v>
      </c>
      <c r="D29" s="174">
        <f>'Kustannusarvio|Rakennusselostus'!O29</f>
        <v>0</v>
      </c>
      <c r="E29" s="205">
        <f t="shared" si="0"/>
        <v>0</v>
      </c>
      <c r="F29" s="206">
        <f>'Kustannusarvio|Rakennusselostus'!Q29</f>
        <v>0</v>
      </c>
      <c r="G29" s="207">
        <f>'Kustannusarvio|Rakennusselostus'!R29</f>
        <v>0</v>
      </c>
      <c r="H29" s="19"/>
    </row>
    <row r="30" spans="1:8" x14ac:dyDescent="0.35">
      <c r="A30" s="19"/>
      <c r="B30" s="291" t="s">
        <v>72</v>
      </c>
      <c r="C30" s="174">
        <f>'Kustannusarvio|Rakennusselostus'!N30</f>
        <v>0</v>
      </c>
      <c r="D30" s="174">
        <f>'Kustannusarvio|Rakennusselostus'!O30</f>
        <v>0</v>
      </c>
      <c r="E30" s="205">
        <f t="shared" si="0"/>
        <v>0</v>
      </c>
      <c r="F30" s="206">
        <f>'Kustannusarvio|Rakennusselostus'!Q30</f>
        <v>0</v>
      </c>
      <c r="G30" s="207">
        <f>'Kustannusarvio|Rakennusselostus'!R30</f>
        <v>0</v>
      </c>
      <c r="H30" s="19"/>
    </row>
    <row r="31" spans="1:8" x14ac:dyDescent="0.35">
      <c r="A31" s="19"/>
      <c r="B31" s="291" t="s">
        <v>74</v>
      </c>
      <c r="C31" s="174">
        <f>'Kustannusarvio|Rakennusselostus'!N31</f>
        <v>0</v>
      </c>
      <c r="D31" s="174">
        <f>'Kustannusarvio|Rakennusselostus'!O31</f>
        <v>0</v>
      </c>
      <c r="E31" s="205">
        <f t="shared" si="0"/>
        <v>0</v>
      </c>
      <c r="F31" s="206">
        <f>'Kustannusarvio|Rakennusselostus'!Q31</f>
        <v>0</v>
      </c>
      <c r="G31" s="207">
        <f>'Kustannusarvio|Rakennusselostus'!R31</f>
        <v>0</v>
      </c>
      <c r="H31" s="19"/>
    </row>
    <row r="32" spans="1:8" x14ac:dyDescent="0.35">
      <c r="A32" s="19"/>
      <c r="B32" s="291" t="s">
        <v>75</v>
      </c>
      <c r="C32" s="174">
        <f>'Kustannusarvio|Rakennusselostus'!N32</f>
        <v>0</v>
      </c>
      <c r="D32" s="174">
        <f>'Kustannusarvio|Rakennusselostus'!O32</f>
        <v>0</v>
      </c>
      <c r="E32" s="205">
        <f t="shared" si="0"/>
        <v>0</v>
      </c>
      <c r="F32" s="206">
        <f>'Kustannusarvio|Rakennusselostus'!Q32</f>
        <v>0</v>
      </c>
      <c r="G32" s="207">
        <f>'Kustannusarvio|Rakennusselostus'!R32</f>
        <v>0</v>
      </c>
      <c r="H32" s="19"/>
    </row>
    <row r="33" spans="1:8" x14ac:dyDescent="0.35">
      <c r="A33" s="19"/>
      <c r="B33" s="291" t="s">
        <v>76</v>
      </c>
      <c r="C33" s="174">
        <f>'Kustannusarvio|Rakennusselostus'!N33</f>
        <v>0</v>
      </c>
      <c r="D33" s="174">
        <f>'Kustannusarvio|Rakennusselostus'!O33</f>
        <v>0</v>
      </c>
      <c r="E33" s="205">
        <f t="shared" si="0"/>
        <v>0</v>
      </c>
      <c r="F33" s="206">
        <f>'Kustannusarvio|Rakennusselostus'!Q33</f>
        <v>0</v>
      </c>
      <c r="G33" s="207">
        <f>'Kustannusarvio|Rakennusselostus'!R33</f>
        <v>0</v>
      </c>
      <c r="H33" s="19"/>
    </row>
    <row r="34" spans="1:8" x14ac:dyDescent="0.35">
      <c r="A34" s="19"/>
      <c r="B34" s="291" t="s">
        <v>130</v>
      </c>
      <c r="C34" s="174">
        <f>'Kustannusarvio|Rakennusselostus'!N34</f>
        <v>0</v>
      </c>
      <c r="D34" s="174">
        <f>'Kustannusarvio|Rakennusselostus'!O34</f>
        <v>0</v>
      </c>
      <c r="E34" s="205">
        <f t="shared" si="0"/>
        <v>0</v>
      </c>
      <c r="F34" s="206">
        <f>'Kustannusarvio|Rakennusselostus'!Q34</f>
        <v>0</v>
      </c>
      <c r="G34" s="207">
        <f>'Kustannusarvio|Rakennusselostus'!R34</f>
        <v>0</v>
      </c>
      <c r="H34" s="19"/>
    </row>
    <row r="35" spans="1:8" x14ac:dyDescent="0.35">
      <c r="A35" s="19"/>
      <c r="B35" s="291" t="s">
        <v>5</v>
      </c>
      <c r="C35" s="174">
        <f>'Kustannusarvio|Rakennusselostus'!N35</f>
        <v>0</v>
      </c>
      <c r="D35" s="174">
        <f>'Kustannusarvio|Rakennusselostus'!O35</f>
        <v>0</v>
      </c>
      <c r="E35" s="205">
        <f t="shared" si="0"/>
        <v>0</v>
      </c>
      <c r="F35" s="206">
        <f>'Kustannusarvio|Rakennusselostus'!Q35</f>
        <v>0</v>
      </c>
      <c r="G35" s="207">
        <f>'Kustannusarvio|Rakennusselostus'!R35</f>
        <v>0</v>
      </c>
      <c r="H35" s="19"/>
    </row>
    <row r="36" spans="1:8" x14ac:dyDescent="0.35">
      <c r="A36" s="19"/>
      <c r="B36" s="293" t="str">
        <f>SUBSTITUTE(IF('Kustannusarvio|Rakennusselostus'!C36="",'Kustannusarvio|Rakennusselostus'!B36,'Kustannusarvio|Rakennusselostus'!C36),":","")</f>
        <v>Muu rakennusosa</v>
      </c>
      <c r="C36" s="174">
        <f>'Kustannusarvio|Rakennusselostus'!N36</f>
        <v>0</v>
      </c>
      <c r="D36" s="174">
        <f>'Kustannusarvio|Rakennusselostus'!O36</f>
        <v>0</v>
      </c>
      <c r="E36" s="205">
        <f t="shared" si="0"/>
        <v>0</v>
      </c>
      <c r="F36" s="206">
        <f>'Kustannusarvio|Rakennusselostus'!Q36</f>
        <v>0</v>
      </c>
      <c r="G36" s="207">
        <f>'Kustannusarvio|Rakennusselostus'!R36</f>
        <v>0</v>
      </c>
      <c r="H36" s="19"/>
    </row>
    <row r="37" spans="1:8" x14ac:dyDescent="0.35">
      <c r="A37" s="19"/>
      <c r="B37" s="293" t="str">
        <f>SUBSTITUTE(IF('Kustannusarvio|Rakennusselostus'!C37="",'Kustannusarvio|Rakennusselostus'!B37,'Kustannusarvio|Rakennusselostus'!C37),":","")</f>
        <v>Muu rakennusosa</v>
      </c>
      <c r="C37" s="208">
        <f>'Kustannusarvio|Rakennusselostus'!N37</f>
        <v>0</v>
      </c>
      <c r="D37" s="208">
        <f>'Kustannusarvio|Rakennusselostus'!O37</f>
        <v>0</v>
      </c>
      <c r="E37" s="205">
        <f t="shared" si="0"/>
        <v>0</v>
      </c>
      <c r="F37" s="209">
        <f>'Kustannusarvio|Rakennusselostus'!Q37</f>
        <v>0</v>
      </c>
      <c r="G37" s="210">
        <f>'Kustannusarvio|Rakennusselostus'!R37</f>
        <v>0</v>
      </c>
      <c r="H37" s="19"/>
    </row>
    <row r="38" spans="1:8" x14ac:dyDescent="0.35">
      <c r="A38" s="28" t="s">
        <v>77</v>
      </c>
      <c r="B38" s="29"/>
      <c r="C38" s="256"/>
      <c r="D38" s="257"/>
      <c r="E38" s="257"/>
      <c r="F38" s="256"/>
      <c r="G38" s="309"/>
      <c r="H38" s="19"/>
    </row>
    <row r="39" spans="1:8" x14ac:dyDescent="0.35">
      <c r="A39" s="32" t="s">
        <v>35</v>
      </c>
      <c r="B39" s="301"/>
      <c r="C39" s="37"/>
      <c r="D39" s="37"/>
      <c r="E39" s="37"/>
      <c r="F39" s="278"/>
      <c r="G39" s="277"/>
      <c r="H39" s="19"/>
    </row>
    <row r="40" spans="1:8" x14ac:dyDescent="0.35">
      <c r="A40" s="19"/>
      <c r="B40" s="290" t="s">
        <v>81</v>
      </c>
      <c r="C40" s="202">
        <f>'Kustannusarvio|Rakennusselostus'!N40</f>
        <v>0</v>
      </c>
      <c r="D40" s="202">
        <f>'Kustannusarvio|Rakennusselostus'!O40</f>
        <v>0</v>
      </c>
      <c r="E40" s="205">
        <f t="shared" si="0"/>
        <v>0</v>
      </c>
      <c r="F40" s="203">
        <f>'Kustannusarvio|Rakennusselostus'!Q40</f>
        <v>0</v>
      </c>
      <c r="G40" s="204">
        <f>'Kustannusarvio|Rakennusselostus'!R40</f>
        <v>0</v>
      </c>
      <c r="H40" s="19"/>
    </row>
    <row r="41" spans="1:8" x14ac:dyDescent="0.35">
      <c r="A41" s="19"/>
      <c r="B41" s="291" t="s">
        <v>78</v>
      </c>
      <c r="C41" s="174">
        <f>'Kustannusarvio|Rakennusselostus'!N41</f>
        <v>0</v>
      </c>
      <c r="D41" s="174">
        <f>'Kustannusarvio|Rakennusselostus'!O41</f>
        <v>0</v>
      </c>
      <c r="E41" s="205">
        <f t="shared" si="0"/>
        <v>0</v>
      </c>
      <c r="F41" s="206">
        <f>'Kustannusarvio|Rakennusselostus'!Q41</f>
        <v>0</v>
      </c>
      <c r="G41" s="207">
        <f>'Kustannusarvio|Rakennusselostus'!R41</f>
        <v>0</v>
      </c>
      <c r="H41" s="19"/>
    </row>
    <row r="42" spans="1:8" x14ac:dyDescent="0.35">
      <c r="A42" s="19"/>
      <c r="B42" s="291" t="s">
        <v>37</v>
      </c>
      <c r="C42" s="174">
        <f>'Kustannusarvio|Rakennusselostus'!N42</f>
        <v>0</v>
      </c>
      <c r="D42" s="174">
        <f>'Kustannusarvio|Rakennusselostus'!O42</f>
        <v>0</v>
      </c>
      <c r="E42" s="205">
        <f t="shared" si="0"/>
        <v>0</v>
      </c>
      <c r="F42" s="206">
        <f>'Kustannusarvio|Rakennusselostus'!Q42</f>
        <v>0</v>
      </c>
      <c r="G42" s="207">
        <f>'Kustannusarvio|Rakennusselostus'!R42</f>
        <v>0</v>
      </c>
      <c r="H42" s="19"/>
    </row>
    <row r="43" spans="1:8" x14ac:dyDescent="0.35">
      <c r="A43" s="19"/>
      <c r="B43" s="291" t="s">
        <v>79</v>
      </c>
      <c r="C43" s="174">
        <f>'Kustannusarvio|Rakennusselostus'!N43</f>
        <v>0</v>
      </c>
      <c r="D43" s="174">
        <f>'Kustannusarvio|Rakennusselostus'!O43</f>
        <v>0</v>
      </c>
      <c r="E43" s="205">
        <f t="shared" si="0"/>
        <v>0</v>
      </c>
      <c r="F43" s="206">
        <f>'Kustannusarvio|Rakennusselostus'!Q43</f>
        <v>0</v>
      </c>
      <c r="G43" s="207">
        <f>'Kustannusarvio|Rakennusselostus'!R43</f>
        <v>0</v>
      </c>
      <c r="H43" s="19"/>
    </row>
    <row r="44" spans="1:8" x14ac:dyDescent="0.35">
      <c r="A44" s="19"/>
      <c r="B44" s="291" t="s">
        <v>80</v>
      </c>
      <c r="C44" s="174">
        <f>'Kustannusarvio|Rakennusselostus'!N44</f>
        <v>0</v>
      </c>
      <c r="D44" s="174">
        <f>'Kustannusarvio|Rakennusselostus'!O44</f>
        <v>0</v>
      </c>
      <c r="E44" s="205">
        <f t="shared" si="0"/>
        <v>0</v>
      </c>
      <c r="F44" s="206">
        <f>'Kustannusarvio|Rakennusselostus'!Q44</f>
        <v>0</v>
      </c>
      <c r="G44" s="207">
        <f>'Kustannusarvio|Rakennusselostus'!R44</f>
        <v>0</v>
      </c>
      <c r="H44" s="19"/>
    </row>
    <row r="45" spans="1:8" x14ac:dyDescent="0.35">
      <c r="A45" s="19"/>
      <c r="B45" s="305" t="str">
        <f>SUBSTITUTE(IF('Kustannusarvio|Rakennusselostus'!C45="",'Kustannusarvio|Rakennusselostus'!B45,'Kustannusarvio|Rakennusselostus'!C45),":","")</f>
        <v>Muu rakenne</v>
      </c>
      <c r="C45" s="208">
        <f>'Kustannusarvio|Rakennusselostus'!N45</f>
        <v>0</v>
      </c>
      <c r="D45" s="208">
        <f>'Kustannusarvio|Rakennusselostus'!O45</f>
        <v>0</v>
      </c>
      <c r="E45" s="205">
        <f t="shared" si="0"/>
        <v>0</v>
      </c>
      <c r="F45" s="209">
        <f>'Kustannusarvio|Rakennusselostus'!Q45</f>
        <v>0</v>
      </c>
      <c r="G45" s="210">
        <f>'Kustannusarvio|Rakennusselostus'!R45</f>
        <v>0</v>
      </c>
      <c r="H45" s="19"/>
    </row>
    <row r="46" spans="1:8" x14ac:dyDescent="0.35">
      <c r="A46" s="32" t="s">
        <v>47</v>
      </c>
      <c r="B46" s="301"/>
      <c r="C46" s="37"/>
      <c r="D46" s="37"/>
      <c r="E46" s="37"/>
      <c r="F46" s="278"/>
      <c r="G46" s="277"/>
      <c r="H46" s="19"/>
    </row>
    <row r="47" spans="1:8" x14ac:dyDescent="0.35">
      <c r="A47" s="19"/>
      <c r="B47" s="290" t="s">
        <v>4</v>
      </c>
      <c r="C47" s="202">
        <f>'Kustannusarvio|Rakennusselostus'!N47</f>
        <v>0</v>
      </c>
      <c r="D47" s="202">
        <f>'Kustannusarvio|Rakennusselostus'!O47</f>
        <v>0</v>
      </c>
      <c r="E47" s="205">
        <f t="shared" si="0"/>
        <v>0</v>
      </c>
      <c r="F47" s="203">
        <f>'Kustannusarvio|Rakennusselostus'!Q47</f>
        <v>0</v>
      </c>
      <c r="G47" s="204">
        <f>'Kustannusarvio|Rakennusselostus'!R47</f>
        <v>0</v>
      </c>
      <c r="H47" s="19"/>
    </row>
    <row r="48" spans="1:8" x14ac:dyDescent="0.35">
      <c r="A48" s="19"/>
      <c r="B48" s="291" t="s">
        <v>37</v>
      </c>
      <c r="C48" s="174">
        <f>'Kustannusarvio|Rakennusselostus'!N48</f>
        <v>0</v>
      </c>
      <c r="D48" s="174">
        <f>'Kustannusarvio|Rakennusselostus'!O48</f>
        <v>0</v>
      </c>
      <c r="E48" s="205">
        <f t="shared" si="0"/>
        <v>0</v>
      </c>
      <c r="F48" s="206">
        <f>'Kustannusarvio|Rakennusselostus'!Q48</f>
        <v>0</v>
      </c>
      <c r="G48" s="207">
        <f>'Kustannusarvio|Rakennusselostus'!R48</f>
        <v>0</v>
      </c>
      <c r="H48" s="19"/>
    </row>
    <row r="49" spans="1:8" x14ac:dyDescent="0.35">
      <c r="A49" s="19"/>
      <c r="B49" s="291" t="s">
        <v>79</v>
      </c>
      <c r="C49" s="174">
        <f>'Kustannusarvio|Rakennusselostus'!N49</f>
        <v>0</v>
      </c>
      <c r="D49" s="174">
        <f>'Kustannusarvio|Rakennusselostus'!O49</f>
        <v>0</v>
      </c>
      <c r="E49" s="205">
        <f t="shared" si="0"/>
        <v>0</v>
      </c>
      <c r="F49" s="206">
        <f>'Kustannusarvio|Rakennusselostus'!Q49</f>
        <v>0</v>
      </c>
      <c r="G49" s="207">
        <f>'Kustannusarvio|Rakennusselostus'!R49</f>
        <v>0</v>
      </c>
      <c r="H49" s="19"/>
    </row>
    <row r="50" spans="1:8" x14ac:dyDescent="0.35">
      <c r="A50" s="19"/>
      <c r="B50" s="291" t="s">
        <v>82</v>
      </c>
      <c r="C50" s="174">
        <f>'Kustannusarvio|Rakennusselostus'!N50</f>
        <v>0</v>
      </c>
      <c r="D50" s="174">
        <f>'Kustannusarvio|Rakennusselostus'!O50</f>
        <v>0</v>
      </c>
      <c r="E50" s="205">
        <f t="shared" si="0"/>
        <v>0</v>
      </c>
      <c r="F50" s="206">
        <f>'Kustannusarvio|Rakennusselostus'!Q50</f>
        <v>0</v>
      </c>
      <c r="G50" s="207">
        <f>'Kustannusarvio|Rakennusselostus'!R50</f>
        <v>0</v>
      </c>
      <c r="H50" s="19"/>
    </row>
    <row r="51" spans="1:8" x14ac:dyDescent="0.35">
      <c r="A51" s="19"/>
      <c r="B51" s="291" t="s">
        <v>83</v>
      </c>
      <c r="C51" s="174">
        <f>'Kustannusarvio|Rakennusselostus'!N51</f>
        <v>0</v>
      </c>
      <c r="D51" s="174">
        <f>'Kustannusarvio|Rakennusselostus'!O51</f>
        <v>0</v>
      </c>
      <c r="E51" s="205">
        <f t="shared" si="0"/>
        <v>0</v>
      </c>
      <c r="F51" s="206">
        <f>'Kustannusarvio|Rakennusselostus'!Q51</f>
        <v>0</v>
      </c>
      <c r="G51" s="207">
        <f>'Kustannusarvio|Rakennusselostus'!R51</f>
        <v>0</v>
      </c>
      <c r="H51" s="19"/>
    </row>
    <row r="52" spans="1:8" x14ac:dyDescent="0.35">
      <c r="A52" s="19"/>
      <c r="B52" s="291" t="s">
        <v>84</v>
      </c>
      <c r="C52" s="174">
        <f>'Kustannusarvio|Rakennusselostus'!N52</f>
        <v>0</v>
      </c>
      <c r="D52" s="174">
        <f>'Kustannusarvio|Rakennusselostus'!O52</f>
        <v>0</v>
      </c>
      <c r="E52" s="205">
        <f t="shared" si="0"/>
        <v>0</v>
      </c>
      <c r="F52" s="206">
        <f>'Kustannusarvio|Rakennusselostus'!Q52</f>
        <v>0</v>
      </c>
      <c r="G52" s="207">
        <f>'Kustannusarvio|Rakennusselostus'!R52</f>
        <v>0</v>
      </c>
      <c r="H52" s="19"/>
    </row>
    <row r="53" spans="1:8" x14ac:dyDescent="0.35">
      <c r="A53" s="19"/>
      <c r="B53" s="296" t="s">
        <v>87</v>
      </c>
      <c r="C53" s="174">
        <f>'Kustannusarvio|Rakennusselostus'!N53</f>
        <v>0</v>
      </c>
      <c r="D53" s="174">
        <f>'Kustannusarvio|Rakennusselostus'!O53</f>
        <v>0</v>
      </c>
      <c r="E53" s="205">
        <f t="shared" si="0"/>
        <v>0</v>
      </c>
      <c r="F53" s="206">
        <f>'Kustannusarvio|Rakennusselostus'!Q53</f>
        <v>0</v>
      </c>
      <c r="G53" s="207">
        <f>'Kustannusarvio|Rakennusselostus'!R53</f>
        <v>0</v>
      </c>
      <c r="H53" s="19"/>
    </row>
    <row r="54" spans="1:8" x14ac:dyDescent="0.35">
      <c r="A54" s="19"/>
      <c r="B54" s="296" t="s">
        <v>194</v>
      </c>
      <c r="C54" s="174">
        <f>'Kustannusarvio|Rakennusselostus'!N54</f>
        <v>0</v>
      </c>
      <c r="D54" s="174">
        <f>'Kustannusarvio|Rakennusselostus'!O54</f>
        <v>0</v>
      </c>
      <c r="E54" s="205">
        <f t="shared" si="0"/>
        <v>0</v>
      </c>
      <c r="F54" s="206">
        <f>'Kustannusarvio|Rakennusselostus'!Q54</f>
        <v>0</v>
      </c>
      <c r="G54" s="207">
        <f>'Kustannusarvio|Rakennusselostus'!R54</f>
        <v>0</v>
      </c>
      <c r="H54" s="19"/>
    </row>
    <row r="55" spans="1:8" x14ac:dyDescent="0.35">
      <c r="A55" s="19"/>
      <c r="B55" s="296" t="s">
        <v>192</v>
      </c>
      <c r="C55" s="174">
        <f>'Kustannusarvio|Rakennusselostus'!N55</f>
        <v>0</v>
      </c>
      <c r="D55" s="174">
        <f>'Kustannusarvio|Rakennusselostus'!O55</f>
        <v>0</v>
      </c>
      <c r="E55" s="205">
        <f t="shared" si="0"/>
        <v>0</v>
      </c>
      <c r="F55" s="206">
        <f>'Kustannusarvio|Rakennusselostus'!Q55</f>
        <v>0</v>
      </c>
      <c r="G55" s="207">
        <f>'Kustannusarvio|Rakennusselostus'!R55</f>
        <v>0</v>
      </c>
      <c r="H55" s="19"/>
    </row>
    <row r="56" spans="1:8" x14ac:dyDescent="0.35">
      <c r="A56" s="19"/>
      <c r="B56" s="296" t="s">
        <v>193</v>
      </c>
      <c r="C56" s="174">
        <f>'Kustannusarvio|Rakennusselostus'!N56</f>
        <v>0</v>
      </c>
      <c r="D56" s="174">
        <f>'Kustannusarvio|Rakennusselostus'!O56</f>
        <v>0</v>
      </c>
      <c r="E56" s="205">
        <f t="shared" si="0"/>
        <v>0</v>
      </c>
      <c r="F56" s="206">
        <f>'Kustannusarvio|Rakennusselostus'!Q56</f>
        <v>0</v>
      </c>
      <c r="G56" s="207">
        <f>'Kustannusarvio|Rakennusselostus'!R56</f>
        <v>0</v>
      </c>
      <c r="H56" s="19"/>
    </row>
    <row r="57" spans="1:8" x14ac:dyDescent="0.35">
      <c r="A57" s="19"/>
      <c r="B57" s="296" t="s">
        <v>195</v>
      </c>
      <c r="C57" s="174">
        <f>'Kustannusarvio|Rakennusselostus'!N57</f>
        <v>0</v>
      </c>
      <c r="D57" s="174">
        <f>'Kustannusarvio|Rakennusselostus'!O57</f>
        <v>0</v>
      </c>
      <c r="E57" s="205">
        <f t="shared" si="0"/>
        <v>0</v>
      </c>
      <c r="F57" s="206">
        <f>'Kustannusarvio|Rakennusselostus'!Q57</f>
        <v>0</v>
      </c>
      <c r="G57" s="207">
        <f>'Kustannusarvio|Rakennusselostus'!R57</f>
        <v>0</v>
      </c>
      <c r="H57" s="19"/>
    </row>
    <row r="58" spans="1:8" x14ac:dyDescent="0.35">
      <c r="A58" s="19"/>
      <c r="B58" s="291" t="s">
        <v>48</v>
      </c>
      <c r="C58" s="174">
        <f>'Kustannusarvio|Rakennusselostus'!N58</f>
        <v>0</v>
      </c>
      <c r="D58" s="174">
        <f>'Kustannusarvio|Rakennusselostus'!O58</f>
        <v>0</v>
      </c>
      <c r="E58" s="205">
        <f t="shared" si="0"/>
        <v>0</v>
      </c>
      <c r="F58" s="206">
        <f>'Kustannusarvio|Rakennusselostus'!Q58</f>
        <v>0</v>
      </c>
      <c r="G58" s="207">
        <f>'Kustannusarvio|Rakennusselostus'!R58</f>
        <v>0</v>
      </c>
      <c r="H58" s="19"/>
    </row>
    <row r="59" spans="1:8" x14ac:dyDescent="0.35">
      <c r="A59" s="19"/>
      <c r="B59" s="293" t="str">
        <f>SUBSTITUTE(IF('Kustannusarvio|Rakennusselostus'!C59="",'Kustannusarvio|Rakennusselostus'!B59,'Kustannusarvio|Rakennusselostus'!C59),":","")</f>
        <v>Muu runkorakenne</v>
      </c>
      <c r="C59" s="174">
        <f>'Kustannusarvio|Rakennusselostus'!N59</f>
        <v>0</v>
      </c>
      <c r="D59" s="174">
        <f>'Kustannusarvio|Rakennusselostus'!O59</f>
        <v>0</v>
      </c>
      <c r="E59" s="205">
        <f t="shared" si="0"/>
        <v>0</v>
      </c>
      <c r="F59" s="206">
        <f>'Kustannusarvio|Rakennusselostus'!Q59</f>
        <v>0</v>
      </c>
      <c r="G59" s="207">
        <f>'Kustannusarvio|Rakennusselostus'!R59</f>
        <v>0</v>
      </c>
      <c r="H59" s="19"/>
    </row>
    <row r="60" spans="1:8" x14ac:dyDescent="0.35">
      <c r="A60" s="19"/>
      <c r="B60" s="293" t="str">
        <f>SUBSTITUTE(IF('Kustannusarvio|Rakennusselostus'!C60="",'Kustannusarvio|Rakennusselostus'!B60,'Kustannusarvio|Rakennusselostus'!C60),":","")</f>
        <v>Muu runkorakenne</v>
      </c>
      <c r="C60" s="208">
        <f>'Kustannusarvio|Rakennusselostus'!N60</f>
        <v>0</v>
      </c>
      <c r="D60" s="208">
        <f>'Kustannusarvio|Rakennusselostus'!O60</f>
        <v>0</v>
      </c>
      <c r="E60" s="205">
        <f t="shared" si="0"/>
        <v>0</v>
      </c>
      <c r="F60" s="209">
        <f>'Kustannusarvio|Rakennusselostus'!Q60</f>
        <v>0</v>
      </c>
      <c r="G60" s="210">
        <f>'Kustannusarvio|Rakennusselostus'!R60</f>
        <v>0</v>
      </c>
      <c r="H60" s="19"/>
    </row>
    <row r="61" spans="1:8" x14ac:dyDescent="0.35">
      <c r="A61" s="32" t="s">
        <v>85</v>
      </c>
      <c r="B61" s="301"/>
      <c r="C61" s="37"/>
      <c r="D61" s="37"/>
      <c r="E61" s="37"/>
      <c r="F61" s="278"/>
      <c r="G61" s="277"/>
      <c r="H61" s="19"/>
    </row>
    <row r="62" spans="1:8" x14ac:dyDescent="0.35">
      <c r="A62" s="19"/>
      <c r="B62" s="290" t="s">
        <v>116</v>
      </c>
      <c r="C62" s="202">
        <f>'Kustannusarvio|Rakennusselostus'!N62</f>
        <v>0</v>
      </c>
      <c r="D62" s="202">
        <f>'Kustannusarvio|Rakennusselostus'!O62</f>
        <v>0</v>
      </c>
      <c r="E62" s="205">
        <f t="shared" si="0"/>
        <v>0</v>
      </c>
      <c r="F62" s="203">
        <f>'Kustannusarvio|Rakennusselostus'!Q62</f>
        <v>0</v>
      </c>
      <c r="G62" s="204">
        <f>'Kustannusarvio|Rakennusselostus'!R62</f>
        <v>0</v>
      </c>
      <c r="H62" s="19"/>
    </row>
    <row r="63" spans="1:8" x14ac:dyDescent="0.35">
      <c r="A63" s="19"/>
      <c r="B63" s="291" t="s">
        <v>117</v>
      </c>
      <c r="C63" s="174">
        <f>'Kustannusarvio|Rakennusselostus'!N63</f>
        <v>0</v>
      </c>
      <c r="D63" s="174">
        <f>'Kustannusarvio|Rakennusselostus'!O63</f>
        <v>0</v>
      </c>
      <c r="E63" s="205">
        <f t="shared" si="0"/>
        <v>0</v>
      </c>
      <c r="F63" s="206">
        <f>'Kustannusarvio|Rakennusselostus'!Q63</f>
        <v>0</v>
      </c>
      <c r="G63" s="207">
        <f>'Kustannusarvio|Rakennusselostus'!R63</f>
        <v>0</v>
      </c>
      <c r="H63" s="19"/>
    </row>
    <row r="64" spans="1:8" x14ac:dyDescent="0.35">
      <c r="A64" s="19"/>
      <c r="B64" s="291" t="s">
        <v>118</v>
      </c>
      <c r="C64" s="174">
        <f>'Kustannusarvio|Rakennusselostus'!N64</f>
        <v>0</v>
      </c>
      <c r="D64" s="174">
        <f>'Kustannusarvio|Rakennusselostus'!O64</f>
        <v>0</v>
      </c>
      <c r="E64" s="205">
        <f t="shared" si="0"/>
        <v>0</v>
      </c>
      <c r="F64" s="206">
        <f>'Kustannusarvio|Rakennusselostus'!Q64</f>
        <v>0</v>
      </c>
      <c r="G64" s="207">
        <f>'Kustannusarvio|Rakennusselostus'!R64</f>
        <v>0</v>
      </c>
      <c r="H64" s="19"/>
    </row>
    <row r="65" spans="1:8" x14ac:dyDescent="0.35">
      <c r="A65" s="19"/>
      <c r="B65" s="291" t="s">
        <v>119</v>
      </c>
      <c r="C65" s="174">
        <f>'Kustannusarvio|Rakennusselostus'!N65</f>
        <v>0</v>
      </c>
      <c r="D65" s="174">
        <f>'Kustannusarvio|Rakennusselostus'!O65</f>
        <v>0</v>
      </c>
      <c r="E65" s="205">
        <f t="shared" si="0"/>
        <v>0</v>
      </c>
      <c r="F65" s="206">
        <f>'Kustannusarvio|Rakennusselostus'!Q65</f>
        <v>0</v>
      </c>
      <c r="G65" s="207">
        <f>'Kustannusarvio|Rakennusselostus'!R65</f>
        <v>0</v>
      </c>
      <c r="H65" s="19"/>
    </row>
    <row r="66" spans="1:8" x14ac:dyDescent="0.35">
      <c r="A66" s="19"/>
      <c r="B66" s="291" t="s">
        <v>6</v>
      </c>
      <c r="C66" s="174">
        <f>'Kustannusarvio|Rakennusselostus'!N66</f>
        <v>0</v>
      </c>
      <c r="D66" s="174">
        <f>'Kustannusarvio|Rakennusselostus'!O66</f>
        <v>0</v>
      </c>
      <c r="E66" s="205">
        <f t="shared" si="0"/>
        <v>0</v>
      </c>
      <c r="F66" s="206">
        <f>'Kustannusarvio|Rakennusselostus'!Q66</f>
        <v>0</v>
      </c>
      <c r="G66" s="207">
        <f>'Kustannusarvio|Rakennusselostus'!R66</f>
        <v>0</v>
      </c>
      <c r="H66" s="19"/>
    </row>
    <row r="67" spans="1:8" x14ac:dyDescent="0.35">
      <c r="A67" s="19"/>
      <c r="B67" s="291" t="s">
        <v>7</v>
      </c>
      <c r="C67" s="174">
        <f>'Kustannusarvio|Rakennusselostus'!N67</f>
        <v>0</v>
      </c>
      <c r="D67" s="174">
        <f>'Kustannusarvio|Rakennusselostus'!O67</f>
        <v>0</v>
      </c>
      <c r="E67" s="205">
        <f t="shared" si="0"/>
        <v>0</v>
      </c>
      <c r="F67" s="206">
        <f>'Kustannusarvio|Rakennusselostus'!Q67</f>
        <v>0</v>
      </c>
      <c r="G67" s="207">
        <f>'Kustannusarvio|Rakennusselostus'!R67</f>
        <v>0</v>
      </c>
      <c r="H67" s="19"/>
    </row>
    <row r="68" spans="1:8" x14ac:dyDescent="0.35">
      <c r="A68" s="19"/>
      <c r="B68" s="291" t="s">
        <v>86</v>
      </c>
      <c r="C68" s="174">
        <f>'Kustannusarvio|Rakennusselostus'!N68</f>
        <v>0</v>
      </c>
      <c r="D68" s="174">
        <f>'Kustannusarvio|Rakennusselostus'!O68</f>
        <v>0</v>
      </c>
      <c r="E68" s="205">
        <f t="shared" si="0"/>
        <v>0</v>
      </c>
      <c r="F68" s="206">
        <f>'Kustannusarvio|Rakennusselostus'!Q68</f>
        <v>0</v>
      </c>
      <c r="G68" s="207">
        <f>'Kustannusarvio|Rakennusselostus'!R68</f>
        <v>0</v>
      </c>
      <c r="H68" s="19"/>
    </row>
    <row r="69" spans="1:8" x14ac:dyDescent="0.35">
      <c r="A69" s="19"/>
      <c r="B69" s="293" t="str">
        <f>SUBSTITUTE(IF('Kustannusarvio|Rakennusselostus'!C69="",'Kustannusarvio|Rakennusselostus'!B69,'Kustannusarvio|Rakennusselostus'!C69),":","")</f>
        <v>Muu rakenne</v>
      </c>
      <c r="C69" s="174">
        <f>'Kustannusarvio|Rakennusselostus'!N69</f>
        <v>0</v>
      </c>
      <c r="D69" s="174">
        <f>'Kustannusarvio|Rakennusselostus'!O69</f>
        <v>0</v>
      </c>
      <c r="E69" s="205">
        <f t="shared" si="0"/>
        <v>0</v>
      </c>
      <c r="F69" s="206">
        <f>'Kustannusarvio|Rakennusselostus'!Q69</f>
        <v>0</v>
      </c>
      <c r="G69" s="207">
        <f>'Kustannusarvio|Rakennusselostus'!R69</f>
        <v>0</v>
      </c>
      <c r="H69" s="19"/>
    </row>
    <row r="70" spans="1:8" x14ac:dyDescent="0.35">
      <c r="A70" s="19"/>
      <c r="B70" s="293" t="str">
        <f>SUBSTITUTE(IF('Kustannusarvio|Rakennusselostus'!C70="",'Kustannusarvio|Rakennusselostus'!B70,'Kustannusarvio|Rakennusselostus'!C70),":","")</f>
        <v>Muu rakenne</v>
      </c>
      <c r="C70" s="174">
        <f>'Kustannusarvio|Rakennusselostus'!N70</f>
        <v>0</v>
      </c>
      <c r="D70" s="174">
        <f>'Kustannusarvio|Rakennusselostus'!O70</f>
        <v>0</v>
      </c>
      <c r="E70" s="205">
        <f t="shared" si="0"/>
        <v>0</v>
      </c>
      <c r="F70" s="206">
        <f>'Kustannusarvio|Rakennusselostus'!Q70</f>
        <v>0</v>
      </c>
      <c r="G70" s="207">
        <f>'Kustannusarvio|Rakennusselostus'!R70</f>
        <v>0</v>
      </c>
      <c r="H70" s="19"/>
    </row>
    <row r="71" spans="1:8" x14ac:dyDescent="0.35">
      <c r="A71" s="19"/>
      <c r="B71" s="293" t="str">
        <f>SUBSTITUTE(IF('Kustannusarvio|Rakennusselostus'!C71="",'Kustannusarvio|Rakennusselostus'!B71,'Kustannusarvio|Rakennusselostus'!C71),":","")</f>
        <v>Muu rakenne</v>
      </c>
      <c r="C71" s="174">
        <f>'Kustannusarvio|Rakennusselostus'!N71</f>
        <v>0</v>
      </c>
      <c r="D71" s="174">
        <f>'Kustannusarvio|Rakennusselostus'!O71</f>
        <v>0</v>
      </c>
      <c r="E71" s="205">
        <f t="shared" si="0"/>
        <v>0</v>
      </c>
      <c r="F71" s="206">
        <f>'Kustannusarvio|Rakennusselostus'!Q71</f>
        <v>0</v>
      </c>
      <c r="G71" s="207">
        <f>'Kustannusarvio|Rakennusselostus'!R71</f>
        <v>0</v>
      </c>
      <c r="H71" s="19"/>
    </row>
    <row r="72" spans="1:8" x14ac:dyDescent="0.35">
      <c r="A72" s="19"/>
      <c r="B72" s="293" t="str">
        <f>SUBSTITUTE(IF('Kustannusarvio|Rakennusselostus'!C72="",'Kustannusarvio|Rakennusselostus'!B72,'Kustannusarvio|Rakennusselostus'!C72),":","")</f>
        <v>Muu rakenne</v>
      </c>
      <c r="C72" s="208">
        <f>'Kustannusarvio|Rakennusselostus'!N72</f>
        <v>0</v>
      </c>
      <c r="D72" s="208">
        <f>'Kustannusarvio|Rakennusselostus'!O72</f>
        <v>0</v>
      </c>
      <c r="E72" s="205">
        <f t="shared" si="0"/>
        <v>0</v>
      </c>
      <c r="F72" s="209">
        <f>'Kustannusarvio|Rakennusselostus'!Q72</f>
        <v>0</v>
      </c>
      <c r="G72" s="210">
        <f>'Kustannusarvio|Rakennusselostus'!R72</f>
        <v>0</v>
      </c>
      <c r="H72" s="19"/>
    </row>
    <row r="73" spans="1:8" x14ac:dyDescent="0.35">
      <c r="A73" s="32" t="s">
        <v>88</v>
      </c>
      <c r="B73" s="301"/>
      <c r="C73" s="37"/>
      <c r="D73" s="37"/>
      <c r="E73" s="37"/>
      <c r="F73" s="278"/>
      <c r="G73" s="277"/>
      <c r="H73" s="19"/>
    </row>
    <row r="74" spans="1:8" x14ac:dyDescent="0.35">
      <c r="A74" s="19"/>
      <c r="B74" s="290" t="s">
        <v>89</v>
      </c>
      <c r="C74" s="202">
        <f>'Kustannusarvio|Rakennusselostus'!N74</f>
        <v>0</v>
      </c>
      <c r="D74" s="202">
        <f>'Kustannusarvio|Rakennusselostus'!O74</f>
        <v>0</v>
      </c>
      <c r="E74" s="205">
        <f t="shared" ref="E74:E136" si="1">C74*20+D74*60</f>
        <v>0</v>
      </c>
      <c r="F74" s="203">
        <f>'Kustannusarvio|Rakennusselostus'!Q74</f>
        <v>0</v>
      </c>
      <c r="G74" s="204">
        <f>'Kustannusarvio|Rakennusselostus'!R74</f>
        <v>0</v>
      </c>
      <c r="H74" s="19"/>
    </row>
    <row r="75" spans="1:8" x14ac:dyDescent="0.35">
      <c r="A75" s="19"/>
      <c r="B75" s="291" t="s">
        <v>90</v>
      </c>
      <c r="C75" s="174">
        <f>'Kustannusarvio|Rakennusselostus'!N75</f>
        <v>0</v>
      </c>
      <c r="D75" s="174">
        <f>'Kustannusarvio|Rakennusselostus'!O75</f>
        <v>0</v>
      </c>
      <c r="E75" s="205">
        <f t="shared" si="1"/>
        <v>0</v>
      </c>
      <c r="F75" s="206">
        <f>'Kustannusarvio|Rakennusselostus'!Q75</f>
        <v>0</v>
      </c>
      <c r="G75" s="207">
        <f>'Kustannusarvio|Rakennusselostus'!R75</f>
        <v>0</v>
      </c>
      <c r="H75" s="19"/>
    </row>
    <row r="76" spans="1:8" x14ac:dyDescent="0.35">
      <c r="A76" s="19"/>
      <c r="B76" s="291" t="s">
        <v>91</v>
      </c>
      <c r="C76" s="174">
        <f>'Kustannusarvio|Rakennusselostus'!N76</f>
        <v>0</v>
      </c>
      <c r="D76" s="174">
        <f>'Kustannusarvio|Rakennusselostus'!O76</f>
        <v>0</v>
      </c>
      <c r="E76" s="205">
        <f t="shared" si="1"/>
        <v>0</v>
      </c>
      <c r="F76" s="206">
        <f>'Kustannusarvio|Rakennusselostus'!Q76</f>
        <v>0</v>
      </c>
      <c r="G76" s="207">
        <f>'Kustannusarvio|Rakennusselostus'!R76</f>
        <v>0</v>
      </c>
      <c r="H76" s="19"/>
    </row>
    <row r="77" spans="1:8" x14ac:dyDescent="0.35">
      <c r="A77" s="19"/>
      <c r="B77" s="291" t="s">
        <v>92</v>
      </c>
      <c r="C77" s="174">
        <f>'Kustannusarvio|Rakennusselostus'!N77</f>
        <v>0</v>
      </c>
      <c r="D77" s="174">
        <f>'Kustannusarvio|Rakennusselostus'!O77</f>
        <v>0</v>
      </c>
      <c r="E77" s="205">
        <f t="shared" si="1"/>
        <v>0</v>
      </c>
      <c r="F77" s="206">
        <f>'Kustannusarvio|Rakennusselostus'!Q77</f>
        <v>0</v>
      </c>
      <c r="G77" s="207">
        <f>'Kustannusarvio|Rakennusselostus'!R77</f>
        <v>0</v>
      </c>
      <c r="H77" s="19"/>
    </row>
    <row r="78" spans="1:8" x14ac:dyDescent="0.35">
      <c r="A78" s="19"/>
      <c r="B78" s="293" t="str">
        <f>SUBSTITUTE(IF('Kustannusarvio|Rakennusselostus'!C78="",'Kustannusarvio|Rakennusselostus'!B78,'Kustannusarvio|Rakennusselostus'!C78),":","")</f>
        <v>Muut vesikattorakenteet</v>
      </c>
      <c r="C78" s="174">
        <f>'Kustannusarvio|Rakennusselostus'!N78</f>
        <v>0</v>
      </c>
      <c r="D78" s="174">
        <f>'Kustannusarvio|Rakennusselostus'!O78</f>
        <v>0</v>
      </c>
      <c r="E78" s="205">
        <f t="shared" si="1"/>
        <v>0</v>
      </c>
      <c r="F78" s="206">
        <f>'Kustannusarvio|Rakennusselostus'!Q78</f>
        <v>0</v>
      </c>
      <c r="G78" s="207">
        <f>'Kustannusarvio|Rakennusselostus'!R78</f>
        <v>0</v>
      </c>
      <c r="H78" s="19"/>
    </row>
    <row r="79" spans="1:8" x14ac:dyDescent="0.35">
      <c r="A79" s="19"/>
      <c r="B79" s="293" t="str">
        <f>SUBSTITUTE(IF('Kustannusarvio|Rakennusselostus'!C79="",'Kustannusarvio|Rakennusselostus'!B79,'Kustannusarvio|Rakennusselostus'!C79),":","")</f>
        <v>Muut vesikattorakenteet</v>
      </c>
      <c r="C79" s="208">
        <f>'Kustannusarvio|Rakennusselostus'!N79</f>
        <v>0</v>
      </c>
      <c r="D79" s="208">
        <f>'Kustannusarvio|Rakennusselostus'!O79</f>
        <v>0</v>
      </c>
      <c r="E79" s="205">
        <f t="shared" si="1"/>
        <v>0</v>
      </c>
      <c r="F79" s="209">
        <f>'Kustannusarvio|Rakennusselostus'!Q79</f>
        <v>0</v>
      </c>
      <c r="G79" s="210">
        <f>'Kustannusarvio|Rakennusselostus'!R79</f>
        <v>0</v>
      </c>
      <c r="H79" s="19"/>
    </row>
    <row r="80" spans="1:8" x14ac:dyDescent="0.35">
      <c r="A80" s="28" t="s">
        <v>93</v>
      </c>
      <c r="B80" s="29"/>
      <c r="C80" s="256"/>
      <c r="D80" s="256"/>
      <c r="E80" s="256"/>
      <c r="F80" s="256"/>
      <c r="G80" s="309"/>
      <c r="H80" s="19"/>
    </row>
    <row r="81" spans="1:8" x14ac:dyDescent="0.35">
      <c r="A81" s="19"/>
      <c r="B81" s="290" t="s">
        <v>94</v>
      </c>
      <c r="C81" s="258">
        <f>'Kustannusarvio|Rakennusselostus'!N81</f>
        <v>0</v>
      </c>
      <c r="D81" s="258">
        <f>'Kustannusarvio|Rakennusselostus'!O81</f>
        <v>0</v>
      </c>
      <c r="E81" s="255">
        <f t="shared" si="1"/>
        <v>0</v>
      </c>
      <c r="F81" s="203">
        <f>'Kustannusarvio|Rakennusselostus'!Q81</f>
        <v>0</v>
      </c>
      <c r="G81" s="204">
        <f>'Kustannusarvio|Rakennusselostus'!R81</f>
        <v>0</v>
      </c>
      <c r="H81" s="19"/>
    </row>
    <row r="82" spans="1:8" x14ac:dyDescent="0.35">
      <c r="A82" s="19"/>
      <c r="B82" s="291" t="s">
        <v>43</v>
      </c>
      <c r="C82" s="174">
        <f>'Kustannusarvio|Rakennusselostus'!N82</f>
        <v>0</v>
      </c>
      <c r="D82" s="174">
        <f>'Kustannusarvio|Rakennusselostus'!O82</f>
        <v>0</v>
      </c>
      <c r="E82" s="205">
        <f t="shared" si="1"/>
        <v>0</v>
      </c>
      <c r="F82" s="206">
        <f>'Kustannusarvio|Rakennusselostus'!Q82</f>
        <v>0</v>
      </c>
      <c r="G82" s="207">
        <f>'Kustannusarvio|Rakennusselostus'!R82</f>
        <v>0</v>
      </c>
      <c r="H82" s="19"/>
    </row>
    <row r="83" spans="1:8" x14ac:dyDescent="0.35">
      <c r="A83" s="19"/>
      <c r="B83" s="291" t="s">
        <v>95</v>
      </c>
      <c r="C83" s="174">
        <f>'Kustannusarvio|Rakennusselostus'!N83</f>
        <v>0</v>
      </c>
      <c r="D83" s="174">
        <f>'Kustannusarvio|Rakennusselostus'!O83</f>
        <v>0</v>
      </c>
      <c r="E83" s="205">
        <f t="shared" si="1"/>
        <v>0</v>
      </c>
      <c r="F83" s="206">
        <f>'Kustannusarvio|Rakennusselostus'!Q83</f>
        <v>0</v>
      </c>
      <c r="G83" s="207">
        <f>'Kustannusarvio|Rakennusselostus'!R83</f>
        <v>0</v>
      </c>
      <c r="H83" s="19"/>
    </row>
    <row r="84" spans="1:8" x14ac:dyDescent="0.35">
      <c r="A84" s="19"/>
      <c r="B84" s="291" t="s">
        <v>96</v>
      </c>
      <c r="C84" s="174">
        <f>'Kustannusarvio|Rakennusselostus'!N84</f>
        <v>0</v>
      </c>
      <c r="D84" s="174">
        <f>'Kustannusarvio|Rakennusselostus'!O84</f>
        <v>0</v>
      </c>
      <c r="E84" s="205">
        <f t="shared" si="1"/>
        <v>0</v>
      </c>
      <c r="F84" s="206">
        <f>'Kustannusarvio|Rakennusselostus'!Q84</f>
        <v>0</v>
      </c>
      <c r="G84" s="207">
        <f>'Kustannusarvio|Rakennusselostus'!R84</f>
        <v>0</v>
      </c>
      <c r="H84" s="19"/>
    </row>
    <row r="85" spans="1:8" x14ac:dyDescent="0.35">
      <c r="A85" s="19"/>
      <c r="B85" s="291" t="s">
        <v>140</v>
      </c>
      <c r="C85" s="174">
        <f>'Kustannusarvio|Rakennusselostus'!N85</f>
        <v>0</v>
      </c>
      <c r="D85" s="174">
        <f>'Kustannusarvio|Rakennusselostus'!O85</f>
        <v>0</v>
      </c>
      <c r="E85" s="205">
        <f t="shared" si="1"/>
        <v>0</v>
      </c>
      <c r="F85" s="206">
        <f>'Kustannusarvio|Rakennusselostus'!Q85</f>
        <v>0</v>
      </c>
      <c r="G85" s="207">
        <f>'Kustannusarvio|Rakennusselostus'!R85</f>
        <v>0</v>
      </c>
      <c r="H85" s="19"/>
    </row>
    <row r="86" spans="1:8" x14ac:dyDescent="0.35">
      <c r="A86" s="19"/>
      <c r="B86" s="293" t="str">
        <f>SUBSTITUTE(IF('Kustannusarvio|Rakennusselostus'!C86="",'Kustannusarvio|Rakennusselostus'!B86,'Kustannusarvio|Rakennusselostus'!C86),":","")</f>
        <v>Muu rakennusosa</v>
      </c>
      <c r="C86" s="174">
        <f>'Kustannusarvio|Rakennusselostus'!N86</f>
        <v>0</v>
      </c>
      <c r="D86" s="174">
        <f>'Kustannusarvio|Rakennusselostus'!O86</f>
        <v>0</v>
      </c>
      <c r="E86" s="205">
        <f t="shared" si="1"/>
        <v>0</v>
      </c>
      <c r="F86" s="206">
        <f>'Kustannusarvio|Rakennusselostus'!Q86</f>
        <v>0</v>
      </c>
      <c r="G86" s="207">
        <f>'Kustannusarvio|Rakennusselostus'!R86</f>
        <v>0</v>
      </c>
      <c r="H86" s="19"/>
    </row>
    <row r="87" spans="1:8" x14ac:dyDescent="0.35">
      <c r="A87" s="19"/>
      <c r="B87" s="293" t="str">
        <f>SUBSTITUTE(IF('Kustannusarvio|Rakennusselostus'!C87="",'Kustannusarvio|Rakennusselostus'!B87,'Kustannusarvio|Rakennusselostus'!C87),":","")</f>
        <v>Muu rakennusosa</v>
      </c>
      <c r="C87" s="208">
        <f>'Kustannusarvio|Rakennusselostus'!N87</f>
        <v>0</v>
      </c>
      <c r="D87" s="208">
        <f>'Kustannusarvio|Rakennusselostus'!O87</f>
        <v>0</v>
      </c>
      <c r="E87" s="205">
        <f t="shared" si="1"/>
        <v>0</v>
      </c>
      <c r="F87" s="209">
        <f>'Kustannusarvio|Rakennusselostus'!Q87</f>
        <v>0</v>
      </c>
      <c r="G87" s="210">
        <f>'Kustannusarvio|Rakennusselostus'!R87</f>
        <v>0</v>
      </c>
      <c r="H87" s="19"/>
    </row>
    <row r="88" spans="1:8" x14ac:dyDescent="0.35">
      <c r="A88" s="28" t="s">
        <v>97</v>
      </c>
      <c r="B88" s="29"/>
      <c r="C88" s="256"/>
      <c r="D88" s="256"/>
      <c r="E88" s="256"/>
      <c r="F88" s="256"/>
      <c r="G88" s="309"/>
      <c r="H88" s="19"/>
    </row>
    <row r="89" spans="1:8" x14ac:dyDescent="0.35">
      <c r="A89" s="19"/>
      <c r="B89" s="290" t="s">
        <v>100</v>
      </c>
      <c r="C89" s="202">
        <f>'Kustannusarvio|Rakennusselostus'!N89</f>
        <v>0</v>
      </c>
      <c r="D89" s="202">
        <f>'Kustannusarvio|Rakennusselostus'!O89</f>
        <v>0</v>
      </c>
      <c r="E89" s="205">
        <f t="shared" si="1"/>
        <v>0</v>
      </c>
      <c r="F89" s="203">
        <f>'Kustannusarvio|Rakennusselostus'!Q89</f>
        <v>0</v>
      </c>
      <c r="G89" s="204">
        <f>'Kustannusarvio|Rakennusselostus'!R89</f>
        <v>0</v>
      </c>
      <c r="H89" s="19"/>
    </row>
    <row r="90" spans="1:8" x14ac:dyDescent="0.35">
      <c r="A90" s="19"/>
      <c r="B90" s="291" t="s">
        <v>99</v>
      </c>
      <c r="C90" s="174">
        <f>'Kustannusarvio|Rakennusselostus'!N90</f>
        <v>0</v>
      </c>
      <c r="D90" s="174">
        <f>'Kustannusarvio|Rakennusselostus'!O90</f>
        <v>0</v>
      </c>
      <c r="E90" s="205">
        <f t="shared" si="1"/>
        <v>0</v>
      </c>
      <c r="F90" s="206">
        <f>'Kustannusarvio|Rakennusselostus'!Q90</f>
        <v>0</v>
      </c>
      <c r="G90" s="207">
        <f>'Kustannusarvio|Rakennusselostus'!R90</f>
        <v>0</v>
      </c>
      <c r="H90" s="19"/>
    </row>
    <row r="91" spans="1:8" x14ac:dyDescent="0.35">
      <c r="A91" s="19"/>
      <c r="B91" s="291" t="s">
        <v>101</v>
      </c>
      <c r="C91" s="174">
        <f>'Kustannusarvio|Rakennusselostus'!N91</f>
        <v>0</v>
      </c>
      <c r="D91" s="174">
        <f>'Kustannusarvio|Rakennusselostus'!O91</f>
        <v>0</v>
      </c>
      <c r="E91" s="205">
        <f t="shared" si="1"/>
        <v>0</v>
      </c>
      <c r="F91" s="206">
        <f>'Kustannusarvio|Rakennusselostus'!Q91</f>
        <v>0</v>
      </c>
      <c r="G91" s="207">
        <f>'Kustannusarvio|Rakennusselostus'!R91</f>
        <v>0</v>
      </c>
      <c r="H91" s="19"/>
    </row>
    <row r="92" spans="1:8" x14ac:dyDescent="0.35">
      <c r="A92" s="19"/>
      <c r="B92" s="291" t="s">
        <v>141</v>
      </c>
      <c r="C92" s="174">
        <f>'Kustannusarvio|Rakennusselostus'!N92</f>
        <v>0</v>
      </c>
      <c r="D92" s="174">
        <f>'Kustannusarvio|Rakennusselostus'!O92</f>
        <v>0</v>
      </c>
      <c r="E92" s="205">
        <f t="shared" si="1"/>
        <v>0</v>
      </c>
      <c r="F92" s="206">
        <f>'Kustannusarvio|Rakennusselostus'!Q92</f>
        <v>0</v>
      </c>
      <c r="G92" s="207">
        <f>'Kustannusarvio|Rakennusselostus'!R92</f>
        <v>0</v>
      </c>
      <c r="H92" s="19"/>
    </row>
    <row r="93" spans="1:8" x14ac:dyDescent="0.35">
      <c r="A93" s="19"/>
      <c r="B93" s="291" t="s">
        <v>102</v>
      </c>
      <c r="C93" s="174">
        <f>'Kustannusarvio|Rakennusselostus'!N93</f>
        <v>0</v>
      </c>
      <c r="D93" s="174">
        <f>'Kustannusarvio|Rakennusselostus'!O93</f>
        <v>0</v>
      </c>
      <c r="E93" s="205">
        <f t="shared" si="1"/>
        <v>0</v>
      </c>
      <c r="F93" s="206">
        <f>'Kustannusarvio|Rakennusselostus'!Q93</f>
        <v>0</v>
      </c>
      <c r="G93" s="207">
        <f>'Kustannusarvio|Rakennusselostus'!R93</f>
        <v>0</v>
      </c>
      <c r="H93" s="19"/>
    </row>
    <row r="94" spans="1:8" x14ac:dyDescent="0.35">
      <c r="A94" s="19"/>
      <c r="B94" s="291" t="s">
        <v>142</v>
      </c>
      <c r="C94" s="174">
        <f>'Kustannusarvio|Rakennusselostus'!N94</f>
        <v>0</v>
      </c>
      <c r="D94" s="174">
        <f>'Kustannusarvio|Rakennusselostus'!O94</f>
        <v>0</v>
      </c>
      <c r="E94" s="205">
        <f t="shared" si="1"/>
        <v>0</v>
      </c>
      <c r="F94" s="206">
        <f>'Kustannusarvio|Rakennusselostus'!Q94</f>
        <v>0</v>
      </c>
      <c r="G94" s="207">
        <f>'Kustannusarvio|Rakennusselostus'!R94</f>
        <v>0</v>
      </c>
      <c r="H94" s="19"/>
    </row>
    <row r="95" spans="1:8" x14ac:dyDescent="0.35">
      <c r="A95" s="19"/>
      <c r="B95" s="305" t="str">
        <f>SUBSTITUTE(IF('Kustannusarvio|Rakennusselostus'!C95="",'Kustannusarvio|Rakennusselostus'!B95,'Kustannusarvio|Rakennusselostus'!C95),":","")</f>
        <v>Muut tilapinnat</v>
      </c>
      <c r="C95" s="208">
        <f>'Kustannusarvio|Rakennusselostus'!N95</f>
        <v>0</v>
      </c>
      <c r="D95" s="208">
        <f>'Kustannusarvio|Rakennusselostus'!O95</f>
        <v>0</v>
      </c>
      <c r="E95" s="205">
        <f t="shared" si="1"/>
        <v>0</v>
      </c>
      <c r="F95" s="209">
        <f>'Kustannusarvio|Rakennusselostus'!Q95</f>
        <v>0</v>
      </c>
      <c r="G95" s="210">
        <f>'Kustannusarvio|Rakennusselostus'!R95</f>
        <v>0</v>
      </c>
      <c r="H95" s="19"/>
    </row>
    <row r="96" spans="1:8" x14ac:dyDescent="0.35">
      <c r="A96" s="28" t="s">
        <v>103</v>
      </c>
      <c r="B96" s="29"/>
      <c r="C96" s="256"/>
      <c r="D96" s="256"/>
      <c r="E96" s="256"/>
      <c r="F96" s="256"/>
      <c r="G96" s="309"/>
      <c r="H96" s="19"/>
    </row>
    <row r="97" spans="1:8" x14ac:dyDescent="0.35">
      <c r="A97" s="19"/>
      <c r="B97" s="290" t="s">
        <v>104</v>
      </c>
      <c r="C97" s="202">
        <f>'Kustannusarvio|Rakennusselostus'!N97</f>
        <v>0</v>
      </c>
      <c r="D97" s="202">
        <f>'Kustannusarvio|Rakennusselostus'!O97</f>
        <v>0</v>
      </c>
      <c r="E97" s="205">
        <f t="shared" si="1"/>
        <v>0</v>
      </c>
      <c r="F97" s="203">
        <f>'Kustannusarvio|Rakennusselostus'!Q97</f>
        <v>0</v>
      </c>
      <c r="G97" s="204">
        <f>'Kustannusarvio|Rakennusselostus'!R97</f>
        <v>0</v>
      </c>
      <c r="H97" s="19"/>
    </row>
    <row r="98" spans="1:8" x14ac:dyDescent="0.35">
      <c r="A98" s="19"/>
      <c r="B98" s="291" t="s">
        <v>105</v>
      </c>
      <c r="C98" s="174">
        <f>'Kustannusarvio|Rakennusselostus'!N98</f>
        <v>0</v>
      </c>
      <c r="D98" s="174">
        <f>'Kustannusarvio|Rakennusselostus'!O98</f>
        <v>0</v>
      </c>
      <c r="E98" s="205">
        <f t="shared" si="1"/>
        <v>0</v>
      </c>
      <c r="F98" s="206">
        <f>'Kustannusarvio|Rakennusselostus'!Q98</f>
        <v>0</v>
      </c>
      <c r="G98" s="207">
        <f>'Kustannusarvio|Rakennusselostus'!R98</f>
        <v>0</v>
      </c>
      <c r="H98" s="19"/>
    </row>
    <row r="99" spans="1:8" x14ac:dyDescent="0.35">
      <c r="A99" s="19"/>
      <c r="B99" s="291" t="s">
        <v>106</v>
      </c>
      <c r="C99" s="174">
        <f>'Kustannusarvio|Rakennusselostus'!N99</f>
        <v>0</v>
      </c>
      <c r="D99" s="174">
        <f>'Kustannusarvio|Rakennusselostus'!O99</f>
        <v>0</v>
      </c>
      <c r="E99" s="205">
        <f t="shared" si="1"/>
        <v>0</v>
      </c>
      <c r="F99" s="206">
        <f>'Kustannusarvio|Rakennusselostus'!Q99</f>
        <v>0</v>
      </c>
      <c r="G99" s="207">
        <f>'Kustannusarvio|Rakennusselostus'!R99</f>
        <v>0</v>
      </c>
      <c r="H99" s="19"/>
    </row>
    <row r="100" spans="1:8" x14ac:dyDescent="0.35">
      <c r="A100" s="19"/>
      <c r="B100" s="291" t="s">
        <v>108</v>
      </c>
      <c r="C100" s="174">
        <f>'Kustannusarvio|Rakennusselostus'!N100</f>
        <v>0</v>
      </c>
      <c r="D100" s="174">
        <f>'Kustannusarvio|Rakennusselostus'!O100</f>
        <v>0</v>
      </c>
      <c r="E100" s="205">
        <f t="shared" si="1"/>
        <v>0</v>
      </c>
      <c r="F100" s="206">
        <f>'Kustannusarvio|Rakennusselostus'!Q100</f>
        <v>0</v>
      </c>
      <c r="G100" s="207">
        <f>'Kustannusarvio|Rakennusselostus'!R100</f>
        <v>0</v>
      </c>
      <c r="H100" s="19"/>
    </row>
    <row r="101" spans="1:8" x14ac:dyDescent="0.35">
      <c r="A101" s="19"/>
      <c r="B101" s="291" t="s">
        <v>107</v>
      </c>
      <c r="C101" s="174">
        <f>'Kustannusarvio|Rakennusselostus'!N101</f>
        <v>0</v>
      </c>
      <c r="D101" s="174">
        <f>'Kustannusarvio|Rakennusselostus'!O101</f>
        <v>0</v>
      </c>
      <c r="E101" s="205">
        <f t="shared" si="1"/>
        <v>0</v>
      </c>
      <c r="F101" s="206">
        <f>'Kustannusarvio|Rakennusselostus'!Q101</f>
        <v>0</v>
      </c>
      <c r="G101" s="207">
        <f>'Kustannusarvio|Rakennusselostus'!R101</f>
        <v>0</v>
      </c>
      <c r="H101" s="19"/>
    </row>
    <row r="102" spans="1:8" x14ac:dyDescent="0.35">
      <c r="A102" s="19"/>
      <c r="B102" s="291" t="s">
        <v>143</v>
      </c>
      <c r="C102" s="174">
        <f>'Kustannusarvio|Rakennusselostus'!N102</f>
        <v>0</v>
      </c>
      <c r="D102" s="174">
        <f>'Kustannusarvio|Rakennusselostus'!O102</f>
        <v>0</v>
      </c>
      <c r="E102" s="205">
        <f t="shared" si="1"/>
        <v>0</v>
      </c>
      <c r="F102" s="206">
        <f>'Kustannusarvio|Rakennusselostus'!Q102</f>
        <v>0</v>
      </c>
      <c r="G102" s="207">
        <f>'Kustannusarvio|Rakennusselostus'!R102</f>
        <v>0</v>
      </c>
      <c r="H102" s="19"/>
    </row>
    <row r="103" spans="1:8" x14ac:dyDescent="0.35">
      <c r="A103" s="19"/>
      <c r="B103" s="291" t="s">
        <v>109</v>
      </c>
      <c r="C103" s="174">
        <f>'Kustannusarvio|Rakennusselostus'!N103</f>
        <v>0</v>
      </c>
      <c r="D103" s="174">
        <f>'Kustannusarvio|Rakennusselostus'!O103</f>
        <v>0</v>
      </c>
      <c r="E103" s="205">
        <f t="shared" si="1"/>
        <v>0</v>
      </c>
      <c r="F103" s="206">
        <f>'Kustannusarvio|Rakennusselostus'!Q103</f>
        <v>0</v>
      </c>
      <c r="G103" s="207">
        <f>'Kustannusarvio|Rakennusselostus'!R103</f>
        <v>0</v>
      </c>
      <c r="H103" s="19"/>
    </row>
    <row r="104" spans="1:8" x14ac:dyDescent="0.35">
      <c r="A104" s="19"/>
      <c r="B104" s="291" t="s">
        <v>110</v>
      </c>
      <c r="C104" s="174">
        <f>'Kustannusarvio|Rakennusselostus'!N104</f>
        <v>0</v>
      </c>
      <c r="D104" s="174">
        <f>'Kustannusarvio|Rakennusselostus'!O104</f>
        <v>0</v>
      </c>
      <c r="E104" s="205">
        <f t="shared" si="1"/>
        <v>0</v>
      </c>
      <c r="F104" s="206">
        <f>'Kustannusarvio|Rakennusselostus'!Q104</f>
        <v>0</v>
      </c>
      <c r="G104" s="207">
        <f>'Kustannusarvio|Rakennusselostus'!R104</f>
        <v>0</v>
      </c>
      <c r="H104" s="19"/>
    </row>
    <row r="105" spans="1:8" x14ac:dyDescent="0.35">
      <c r="A105" s="19"/>
      <c r="B105" s="293" t="str">
        <f>SUBSTITUTE(IF('Kustannusarvio|Rakennusselostus'!C105="",'Kustannusarvio|Rakennusselostus'!B105,'Kustannusarvio|Rakennusselostus'!C105),":","")</f>
        <v>Muu laite</v>
      </c>
      <c r="C105" s="174">
        <f>'Kustannusarvio|Rakennusselostus'!N105</f>
        <v>0</v>
      </c>
      <c r="D105" s="174">
        <f>'Kustannusarvio|Rakennusselostus'!O105</f>
        <v>0</v>
      </c>
      <c r="E105" s="205">
        <f t="shared" si="1"/>
        <v>0</v>
      </c>
      <c r="F105" s="206">
        <f>'Kustannusarvio|Rakennusselostus'!Q105</f>
        <v>0</v>
      </c>
      <c r="G105" s="207">
        <f>'Kustannusarvio|Rakennusselostus'!R105</f>
        <v>0</v>
      </c>
      <c r="H105" s="19"/>
    </row>
    <row r="106" spans="1:8" x14ac:dyDescent="0.35">
      <c r="A106" s="19"/>
      <c r="B106" s="293" t="str">
        <f>SUBSTITUTE(IF('Kustannusarvio|Rakennusselostus'!C106="",'Kustannusarvio|Rakennusselostus'!B106,'Kustannusarvio|Rakennusselostus'!C106),":","")</f>
        <v>Muu laite</v>
      </c>
      <c r="C106" s="174">
        <f>'Kustannusarvio|Rakennusselostus'!N106</f>
        <v>0</v>
      </c>
      <c r="D106" s="174">
        <f>'Kustannusarvio|Rakennusselostus'!O106</f>
        <v>0</v>
      </c>
      <c r="E106" s="205">
        <f t="shared" si="1"/>
        <v>0</v>
      </c>
      <c r="F106" s="206">
        <f>'Kustannusarvio|Rakennusselostus'!Q106</f>
        <v>0</v>
      </c>
      <c r="G106" s="207">
        <f>'Kustannusarvio|Rakennusselostus'!R106</f>
        <v>0</v>
      </c>
      <c r="H106" s="19"/>
    </row>
    <row r="107" spans="1:8" x14ac:dyDescent="0.35">
      <c r="A107" s="19"/>
      <c r="B107" s="293" t="str">
        <f>SUBSTITUTE(IF('Kustannusarvio|Rakennusselostus'!C107="",'Kustannusarvio|Rakennusselostus'!B107,'Kustannusarvio|Rakennusselostus'!C107),":","")</f>
        <v>Muu laite</v>
      </c>
      <c r="C107" s="208">
        <f>'Kustannusarvio|Rakennusselostus'!N107</f>
        <v>0</v>
      </c>
      <c r="D107" s="208">
        <f>'Kustannusarvio|Rakennusselostus'!O107</f>
        <v>0</v>
      </c>
      <c r="E107" s="205">
        <f t="shared" si="1"/>
        <v>0</v>
      </c>
      <c r="F107" s="209">
        <f>'Kustannusarvio|Rakennusselostus'!Q107</f>
        <v>0</v>
      </c>
      <c r="G107" s="210">
        <f>'Kustannusarvio|Rakennusselostus'!R107</f>
        <v>0</v>
      </c>
      <c r="H107" s="19"/>
    </row>
    <row r="108" spans="1:8" x14ac:dyDescent="0.35">
      <c r="A108" s="28" t="s">
        <v>111</v>
      </c>
      <c r="B108" s="29"/>
      <c r="C108" s="256"/>
      <c r="D108" s="256"/>
      <c r="E108" s="256"/>
      <c r="F108" s="256"/>
      <c r="G108" s="309"/>
      <c r="H108" s="19"/>
    </row>
    <row r="109" spans="1:8" x14ac:dyDescent="0.35">
      <c r="A109" s="19"/>
      <c r="B109" s="290" t="s">
        <v>21</v>
      </c>
      <c r="C109" s="202">
        <f>'Kustannusarvio|Rakennusselostus'!N109</f>
        <v>0</v>
      </c>
      <c r="D109" s="202">
        <f>'Kustannusarvio|Rakennusselostus'!O109</f>
        <v>0</v>
      </c>
      <c r="E109" s="205">
        <f t="shared" si="1"/>
        <v>0</v>
      </c>
      <c r="F109" s="203">
        <f>'Kustannusarvio|Rakennusselostus'!Q109</f>
        <v>0</v>
      </c>
      <c r="G109" s="204">
        <f>'Kustannusarvio|Rakennusselostus'!R109</f>
        <v>0</v>
      </c>
      <c r="H109" s="19"/>
    </row>
    <row r="110" spans="1:8" x14ac:dyDescent="0.35">
      <c r="A110" s="19"/>
      <c r="B110" s="291" t="s">
        <v>113</v>
      </c>
      <c r="C110" s="174">
        <f>'Kustannusarvio|Rakennusselostus'!N110</f>
        <v>0</v>
      </c>
      <c r="D110" s="174">
        <f>'Kustannusarvio|Rakennusselostus'!O110</f>
        <v>0</v>
      </c>
      <c r="E110" s="205">
        <f t="shared" si="1"/>
        <v>0</v>
      </c>
      <c r="F110" s="206">
        <f>'Kustannusarvio|Rakennusselostus'!Q110</f>
        <v>0</v>
      </c>
      <c r="G110" s="207">
        <f>'Kustannusarvio|Rakennusselostus'!R110</f>
        <v>0</v>
      </c>
      <c r="H110" s="19"/>
    </row>
    <row r="111" spans="1:8" x14ac:dyDescent="0.35">
      <c r="A111" s="19"/>
      <c r="B111" s="291" t="s">
        <v>114</v>
      </c>
      <c r="C111" s="174">
        <f>'Kustannusarvio|Rakennusselostus'!N111</f>
        <v>0</v>
      </c>
      <c r="D111" s="174">
        <f>'Kustannusarvio|Rakennusselostus'!O111</f>
        <v>0</v>
      </c>
      <c r="E111" s="205">
        <f t="shared" si="1"/>
        <v>0</v>
      </c>
      <c r="F111" s="206">
        <f>'Kustannusarvio|Rakennusselostus'!Q111</f>
        <v>0</v>
      </c>
      <c r="G111" s="207">
        <f>'Kustannusarvio|Rakennusselostus'!R111</f>
        <v>0</v>
      </c>
      <c r="H111" s="19"/>
    </row>
    <row r="112" spans="1:8" x14ac:dyDescent="0.35">
      <c r="A112" s="19"/>
      <c r="B112" s="291" t="s">
        <v>112</v>
      </c>
      <c r="C112" s="174">
        <f>'Kustannusarvio|Rakennusselostus'!N112</f>
        <v>0</v>
      </c>
      <c r="D112" s="174">
        <f>'Kustannusarvio|Rakennusselostus'!O112</f>
        <v>0</v>
      </c>
      <c r="E112" s="205">
        <f t="shared" si="1"/>
        <v>0</v>
      </c>
      <c r="F112" s="206">
        <f>'Kustannusarvio|Rakennusselostus'!Q112</f>
        <v>0</v>
      </c>
      <c r="G112" s="207">
        <f>'Kustannusarvio|Rakennusselostus'!R112</f>
        <v>0</v>
      </c>
      <c r="H112" s="19"/>
    </row>
    <row r="113" spans="1:8" x14ac:dyDescent="0.35">
      <c r="A113" s="19"/>
      <c r="B113" s="293" t="str">
        <f>SUBSTITUTE(IF('Kustannusarvio|Rakennusselostus'!C113="",'Kustannusarvio|Rakennusselostus'!B113,'Kustannusarvio|Rakennusselostus'!C113),":","")</f>
        <v>Muut tilaelementit</v>
      </c>
      <c r="C113" s="174">
        <f>'Kustannusarvio|Rakennusselostus'!N113</f>
        <v>0</v>
      </c>
      <c r="D113" s="174">
        <f>'Kustannusarvio|Rakennusselostus'!O113</f>
        <v>0</v>
      </c>
      <c r="E113" s="205">
        <f t="shared" si="1"/>
        <v>0</v>
      </c>
      <c r="F113" s="206">
        <f>'Kustannusarvio|Rakennusselostus'!Q113</f>
        <v>0</v>
      </c>
      <c r="G113" s="207">
        <f>'Kustannusarvio|Rakennusselostus'!R113</f>
        <v>0</v>
      </c>
      <c r="H113" s="19"/>
    </row>
    <row r="114" spans="1:8" x14ac:dyDescent="0.35">
      <c r="A114" s="19"/>
      <c r="B114" s="293" t="str">
        <f>SUBSTITUTE(IF('Kustannusarvio|Rakennusselostus'!C114="",'Kustannusarvio|Rakennusselostus'!B114,'Kustannusarvio|Rakennusselostus'!C114),":","")</f>
        <v>Muut tilaelementit</v>
      </c>
      <c r="C114" s="174">
        <f>'Kustannusarvio|Rakennusselostus'!N114</f>
        <v>0</v>
      </c>
      <c r="D114" s="174">
        <f>'Kustannusarvio|Rakennusselostus'!O114</f>
        <v>0</v>
      </c>
      <c r="E114" s="205">
        <f t="shared" si="1"/>
        <v>0</v>
      </c>
      <c r="F114" s="206">
        <f>'Kustannusarvio|Rakennusselostus'!Q114</f>
        <v>0</v>
      </c>
      <c r="G114" s="207">
        <f>'Kustannusarvio|Rakennusselostus'!R114</f>
        <v>0</v>
      </c>
      <c r="H114" s="19"/>
    </row>
    <row r="115" spans="1:8" x14ac:dyDescent="0.35">
      <c r="A115" s="19"/>
      <c r="B115" s="293" t="str">
        <f>SUBSTITUTE(IF('Kustannusarvio|Rakennusselostus'!C115="",'Kustannusarvio|Rakennusselostus'!B115,'Kustannusarvio|Rakennusselostus'!C115),":","")</f>
        <v>Muut tilaelementit</v>
      </c>
      <c r="C115" s="208">
        <f>'Kustannusarvio|Rakennusselostus'!N115</f>
        <v>0</v>
      </c>
      <c r="D115" s="208">
        <f>'Kustannusarvio|Rakennusselostus'!O115</f>
        <v>0</v>
      </c>
      <c r="E115" s="205">
        <f t="shared" si="1"/>
        <v>0</v>
      </c>
      <c r="F115" s="209">
        <f>'Kustannusarvio|Rakennusselostus'!Q115</f>
        <v>0</v>
      </c>
      <c r="G115" s="210">
        <f>'Kustannusarvio|Rakennusselostus'!R115</f>
        <v>0</v>
      </c>
      <c r="H115" s="19"/>
    </row>
    <row r="116" spans="1:8" x14ac:dyDescent="0.35">
      <c r="A116" s="28" t="s">
        <v>115</v>
      </c>
      <c r="B116" s="29"/>
      <c r="C116" s="256"/>
      <c r="D116" s="257"/>
      <c r="E116" s="257"/>
      <c r="F116" s="256"/>
      <c r="G116" s="309"/>
      <c r="H116" s="19"/>
    </row>
    <row r="117" spans="1:8" x14ac:dyDescent="0.35">
      <c r="A117" s="32" t="s">
        <v>144</v>
      </c>
      <c r="B117" s="301"/>
      <c r="C117" s="37"/>
      <c r="D117" s="37"/>
      <c r="E117" s="37"/>
      <c r="F117" s="278"/>
      <c r="G117" s="277"/>
      <c r="H117" s="19"/>
    </row>
    <row r="118" spans="1:8" x14ac:dyDescent="0.35">
      <c r="A118" s="19"/>
      <c r="B118" s="290" t="s">
        <v>124</v>
      </c>
      <c r="C118" s="202">
        <f>'Kustannusarvio|Rakennusselostus'!N118</f>
        <v>0</v>
      </c>
      <c r="D118" s="202">
        <f>'Kustannusarvio|Rakennusselostus'!O118</f>
        <v>0</v>
      </c>
      <c r="E118" s="205">
        <f t="shared" si="1"/>
        <v>0</v>
      </c>
      <c r="F118" s="203">
        <f>'Kustannusarvio|Rakennusselostus'!Q118</f>
        <v>0</v>
      </c>
      <c r="G118" s="204">
        <f>'Kustannusarvio|Rakennusselostus'!R118</f>
        <v>0</v>
      </c>
      <c r="H118" s="19"/>
    </row>
    <row r="119" spans="1:8" x14ac:dyDescent="0.35">
      <c r="A119" s="19"/>
      <c r="B119" s="291" t="s">
        <v>120</v>
      </c>
      <c r="C119" s="174">
        <f>'Kustannusarvio|Rakennusselostus'!N119</f>
        <v>0</v>
      </c>
      <c r="D119" s="174">
        <f>'Kustannusarvio|Rakennusselostus'!O119</f>
        <v>0</v>
      </c>
      <c r="E119" s="205">
        <f t="shared" si="1"/>
        <v>0</v>
      </c>
      <c r="F119" s="206">
        <f>'Kustannusarvio|Rakennusselostus'!Q119</f>
        <v>0</v>
      </c>
      <c r="G119" s="207">
        <f>'Kustannusarvio|Rakennusselostus'!R119</f>
        <v>0</v>
      </c>
      <c r="H119" s="19"/>
    </row>
    <row r="120" spans="1:8" x14ac:dyDescent="0.35">
      <c r="A120" s="19"/>
      <c r="B120" s="291" t="s">
        <v>8</v>
      </c>
      <c r="C120" s="174">
        <f>'Kustannusarvio|Rakennusselostus'!N120</f>
        <v>0</v>
      </c>
      <c r="D120" s="174">
        <f>'Kustannusarvio|Rakennusselostus'!O120</f>
        <v>0</v>
      </c>
      <c r="E120" s="205">
        <f t="shared" si="1"/>
        <v>0</v>
      </c>
      <c r="F120" s="206">
        <f>'Kustannusarvio|Rakennusselostus'!Q120</f>
        <v>0</v>
      </c>
      <c r="G120" s="207">
        <f>'Kustannusarvio|Rakennusselostus'!R120</f>
        <v>0</v>
      </c>
      <c r="H120" s="19"/>
    </row>
    <row r="121" spans="1:8" x14ac:dyDescent="0.35">
      <c r="A121" s="19"/>
      <c r="B121" s="291" t="s">
        <v>121</v>
      </c>
      <c r="C121" s="174">
        <f>'Kustannusarvio|Rakennusselostus'!N121</f>
        <v>0</v>
      </c>
      <c r="D121" s="174">
        <f>'Kustannusarvio|Rakennusselostus'!O121</f>
        <v>0</v>
      </c>
      <c r="E121" s="205">
        <f t="shared" si="1"/>
        <v>0</v>
      </c>
      <c r="F121" s="206">
        <f>'Kustannusarvio|Rakennusselostus'!Q121</f>
        <v>0</v>
      </c>
      <c r="G121" s="207">
        <f>'Kustannusarvio|Rakennusselostus'!R121</f>
        <v>0</v>
      </c>
      <c r="H121" s="19"/>
    </row>
    <row r="122" spans="1:8" x14ac:dyDescent="0.35">
      <c r="A122" s="19"/>
      <c r="B122" s="291" t="s">
        <v>125</v>
      </c>
      <c r="C122" s="174">
        <f>'Kustannusarvio|Rakennusselostus'!N122</f>
        <v>0</v>
      </c>
      <c r="D122" s="174">
        <f>'Kustannusarvio|Rakennusselostus'!O122</f>
        <v>0</v>
      </c>
      <c r="E122" s="205">
        <f t="shared" si="1"/>
        <v>0</v>
      </c>
      <c r="F122" s="206">
        <f>'Kustannusarvio|Rakennusselostus'!Q122</f>
        <v>0</v>
      </c>
      <c r="G122" s="207">
        <f>'Kustannusarvio|Rakennusselostus'!R122</f>
        <v>0</v>
      </c>
      <c r="H122" s="19"/>
    </row>
    <row r="123" spans="1:8" x14ac:dyDescent="0.35">
      <c r="A123" s="19"/>
      <c r="B123" s="291" t="s">
        <v>122</v>
      </c>
      <c r="C123" s="174">
        <f>'Kustannusarvio|Rakennusselostus'!N123</f>
        <v>0</v>
      </c>
      <c r="D123" s="174">
        <f>'Kustannusarvio|Rakennusselostus'!O123</f>
        <v>0</v>
      </c>
      <c r="E123" s="205">
        <f t="shared" si="1"/>
        <v>0</v>
      </c>
      <c r="F123" s="206">
        <f>'Kustannusarvio|Rakennusselostus'!Q123</f>
        <v>0</v>
      </c>
      <c r="G123" s="207">
        <f>'Kustannusarvio|Rakennusselostus'!R123</f>
        <v>0</v>
      </c>
      <c r="H123" s="19"/>
    </row>
    <row r="124" spans="1:8" x14ac:dyDescent="0.35">
      <c r="A124" s="19"/>
      <c r="B124" s="291" t="s">
        <v>123</v>
      </c>
      <c r="C124" s="174">
        <f>'Kustannusarvio|Rakennusselostus'!N124</f>
        <v>0</v>
      </c>
      <c r="D124" s="174">
        <f>'Kustannusarvio|Rakennusselostus'!O124</f>
        <v>0</v>
      </c>
      <c r="E124" s="205">
        <f t="shared" si="1"/>
        <v>0</v>
      </c>
      <c r="F124" s="206">
        <f>'Kustannusarvio|Rakennusselostus'!Q124</f>
        <v>0</v>
      </c>
      <c r="G124" s="207">
        <f>'Kustannusarvio|Rakennusselostus'!R124</f>
        <v>0</v>
      </c>
      <c r="H124" s="19"/>
    </row>
    <row r="125" spans="1:8" x14ac:dyDescent="0.35">
      <c r="A125" s="19"/>
      <c r="B125" s="296" t="s">
        <v>128</v>
      </c>
      <c r="C125" s="174">
        <f>'Kustannusarvio|Rakennusselostus'!N125</f>
        <v>0</v>
      </c>
      <c r="D125" s="174">
        <f>'Kustannusarvio|Rakennusselostus'!O125</f>
        <v>0</v>
      </c>
      <c r="E125" s="205">
        <f t="shared" si="1"/>
        <v>0</v>
      </c>
      <c r="F125" s="206">
        <f>'Kustannusarvio|Rakennusselostus'!Q125</f>
        <v>0</v>
      </c>
      <c r="G125" s="207">
        <f>'Kustannusarvio|Rakennusselostus'!R125</f>
        <v>0</v>
      </c>
      <c r="H125" s="19"/>
    </row>
    <row r="126" spans="1:8" x14ac:dyDescent="0.35">
      <c r="A126" s="19"/>
      <c r="B126" s="291" t="s">
        <v>126</v>
      </c>
      <c r="C126" s="174">
        <f>'Kustannusarvio|Rakennusselostus'!N126</f>
        <v>0</v>
      </c>
      <c r="D126" s="174">
        <f>'Kustannusarvio|Rakennusselostus'!O126</f>
        <v>0</v>
      </c>
      <c r="E126" s="205">
        <f t="shared" si="1"/>
        <v>0</v>
      </c>
      <c r="F126" s="206">
        <f>'Kustannusarvio|Rakennusselostus'!Q126</f>
        <v>0</v>
      </c>
      <c r="G126" s="207">
        <f>'Kustannusarvio|Rakennusselostus'!R126</f>
        <v>0</v>
      </c>
      <c r="H126" s="19"/>
    </row>
    <row r="127" spans="1:8" x14ac:dyDescent="0.35">
      <c r="A127" s="19"/>
      <c r="B127" s="291" t="s">
        <v>127</v>
      </c>
      <c r="C127" s="174">
        <f>'Kustannusarvio|Rakennusselostus'!N127</f>
        <v>0</v>
      </c>
      <c r="D127" s="174">
        <f>'Kustannusarvio|Rakennusselostus'!O127</f>
        <v>0</v>
      </c>
      <c r="E127" s="205">
        <f t="shared" si="1"/>
        <v>0</v>
      </c>
      <c r="F127" s="206">
        <f>'Kustannusarvio|Rakennusselostus'!Q127</f>
        <v>0</v>
      </c>
      <c r="G127" s="207">
        <f>'Kustannusarvio|Rakennusselostus'!R127</f>
        <v>0</v>
      </c>
      <c r="H127" s="19"/>
    </row>
    <row r="128" spans="1:8" x14ac:dyDescent="0.35">
      <c r="A128" s="19"/>
      <c r="B128" s="291" t="s">
        <v>191</v>
      </c>
      <c r="C128" s="174">
        <f>'Kustannusarvio|Rakennusselostus'!N128</f>
        <v>0</v>
      </c>
      <c r="D128" s="174">
        <f>'Kustannusarvio|Rakennusselostus'!O128</f>
        <v>0</v>
      </c>
      <c r="E128" s="205">
        <f t="shared" si="1"/>
        <v>0</v>
      </c>
      <c r="F128" s="206">
        <f>'Kustannusarvio|Rakennusselostus'!Q128</f>
        <v>0</v>
      </c>
      <c r="G128" s="207">
        <f>'Kustannusarvio|Rakennusselostus'!R128</f>
        <v>0</v>
      </c>
      <c r="H128" s="19"/>
    </row>
    <row r="129" spans="1:8" x14ac:dyDescent="0.35">
      <c r="A129" s="19"/>
      <c r="B129" s="291" t="s">
        <v>129</v>
      </c>
      <c r="C129" s="174">
        <f>'Kustannusarvio|Rakennusselostus'!N129</f>
        <v>0</v>
      </c>
      <c r="D129" s="174">
        <f>'Kustannusarvio|Rakennusselostus'!O129</f>
        <v>0</v>
      </c>
      <c r="E129" s="205">
        <f t="shared" si="1"/>
        <v>0</v>
      </c>
      <c r="F129" s="206">
        <f>'Kustannusarvio|Rakennusselostus'!Q129</f>
        <v>0</v>
      </c>
      <c r="G129" s="207">
        <f>'Kustannusarvio|Rakennusselostus'!R129</f>
        <v>0</v>
      </c>
      <c r="H129" s="19"/>
    </row>
    <row r="130" spans="1:8" x14ac:dyDescent="0.35">
      <c r="A130" s="19"/>
      <c r="B130" s="296" t="s">
        <v>132</v>
      </c>
      <c r="C130" s="174">
        <f>'Kustannusarvio|Rakennusselostus'!N130</f>
        <v>0</v>
      </c>
      <c r="D130" s="174">
        <f>'Kustannusarvio|Rakennusselostus'!O130</f>
        <v>0</v>
      </c>
      <c r="E130" s="205">
        <f t="shared" si="1"/>
        <v>0</v>
      </c>
      <c r="F130" s="206">
        <f>'Kustannusarvio|Rakennusselostus'!Q130</f>
        <v>0</v>
      </c>
      <c r="G130" s="207">
        <f>'Kustannusarvio|Rakennusselostus'!R130</f>
        <v>0</v>
      </c>
      <c r="H130" s="19"/>
    </row>
    <row r="131" spans="1:8" x14ac:dyDescent="0.35">
      <c r="A131" s="19"/>
      <c r="B131" s="296" t="s">
        <v>133</v>
      </c>
      <c r="C131" s="174">
        <f>'Kustannusarvio|Rakennusselostus'!N131</f>
        <v>0</v>
      </c>
      <c r="D131" s="174">
        <f>'Kustannusarvio|Rakennusselostus'!O131</f>
        <v>0</v>
      </c>
      <c r="E131" s="205">
        <f t="shared" si="1"/>
        <v>0</v>
      </c>
      <c r="F131" s="206">
        <f>'Kustannusarvio|Rakennusselostus'!Q131</f>
        <v>0</v>
      </c>
      <c r="G131" s="207">
        <f>'Kustannusarvio|Rakennusselostus'!R131</f>
        <v>0</v>
      </c>
      <c r="H131" s="19"/>
    </row>
    <row r="132" spans="1:8" x14ac:dyDescent="0.35">
      <c r="A132" s="19"/>
      <c r="B132" s="296" t="s">
        <v>145</v>
      </c>
      <c r="C132" s="174">
        <f>'Kustannusarvio|Rakennusselostus'!N132</f>
        <v>0</v>
      </c>
      <c r="D132" s="174">
        <f>'Kustannusarvio|Rakennusselostus'!O132</f>
        <v>0</v>
      </c>
      <c r="E132" s="205">
        <f t="shared" si="1"/>
        <v>0</v>
      </c>
      <c r="F132" s="206">
        <f>'Kustannusarvio|Rakennusselostus'!Q132</f>
        <v>0</v>
      </c>
      <c r="G132" s="207">
        <f>'Kustannusarvio|Rakennusselostus'!R132</f>
        <v>0</v>
      </c>
      <c r="H132" s="19"/>
    </row>
    <row r="133" spans="1:8" x14ac:dyDescent="0.35">
      <c r="A133" s="19"/>
      <c r="B133" s="296" t="s">
        <v>134</v>
      </c>
      <c r="C133" s="174">
        <f>'Kustannusarvio|Rakennusselostus'!N133</f>
        <v>0</v>
      </c>
      <c r="D133" s="174">
        <f>'Kustannusarvio|Rakennusselostus'!O133</f>
        <v>0</v>
      </c>
      <c r="E133" s="205">
        <f t="shared" si="1"/>
        <v>0</v>
      </c>
      <c r="F133" s="206">
        <f>'Kustannusarvio|Rakennusselostus'!Q133</f>
        <v>0</v>
      </c>
      <c r="G133" s="207">
        <f>'Kustannusarvio|Rakennusselostus'!R133</f>
        <v>0</v>
      </c>
      <c r="H133" s="19"/>
    </row>
    <row r="134" spans="1:8" x14ac:dyDescent="0.35">
      <c r="A134" s="19"/>
      <c r="B134" s="305" t="str">
        <f>SUBSTITUTE(IF('Kustannusarvio|Rakennusselostus'!C134="",'Kustannusarvio|Rakennusselostus'!B134,'Kustannusarvio|Rakennusselostus'!C134),":","")</f>
        <v>Muu järjestelmä</v>
      </c>
      <c r="C134" s="208">
        <f>'Kustannusarvio|Rakennusselostus'!N134</f>
        <v>0</v>
      </c>
      <c r="D134" s="208">
        <f>'Kustannusarvio|Rakennusselostus'!O134</f>
        <v>0</v>
      </c>
      <c r="E134" s="205">
        <f t="shared" si="1"/>
        <v>0</v>
      </c>
      <c r="F134" s="209">
        <f>'Kustannusarvio|Rakennusselostus'!Q134</f>
        <v>0</v>
      </c>
      <c r="G134" s="210">
        <f>'Kustannusarvio|Rakennusselostus'!R134</f>
        <v>0</v>
      </c>
      <c r="H134" s="19"/>
    </row>
    <row r="135" spans="1:8" x14ac:dyDescent="0.35">
      <c r="A135" s="28" t="s">
        <v>131</v>
      </c>
      <c r="B135" s="29"/>
      <c r="C135" s="256"/>
      <c r="D135" s="256"/>
      <c r="E135" s="256"/>
      <c r="F135" s="256"/>
      <c r="G135" s="309"/>
      <c r="H135" s="19"/>
    </row>
    <row r="136" spans="1:8" x14ac:dyDescent="0.35">
      <c r="A136" s="19"/>
      <c r="B136" s="290" t="s">
        <v>9</v>
      </c>
      <c r="C136" s="202">
        <f>'Kustannusarvio|Rakennusselostus'!N136</f>
        <v>0</v>
      </c>
      <c r="D136" s="202">
        <f>'Kustannusarvio|Rakennusselostus'!O136</f>
        <v>0</v>
      </c>
      <c r="E136" s="205">
        <f t="shared" si="1"/>
        <v>0</v>
      </c>
      <c r="F136" s="203">
        <f>'Kustannusarvio|Rakennusselostus'!Q136</f>
        <v>0</v>
      </c>
      <c r="G136" s="204">
        <f>'Kustannusarvio|Rakennusselostus'!R136</f>
        <v>0</v>
      </c>
      <c r="H136" s="19"/>
    </row>
    <row r="137" spans="1:8" x14ac:dyDescent="0.35">
      <c r="A137" s="19"/>
      <c r="B137" s="291" t="s">
        <v>10</v>
      </c>
      <c r="C137" s="174">
        <f>'Kustannusarvio|Rakennusselostus'!N137</f>
        <v>0</v>
      </c>
      <c r="D137" s="174">
        <f>'Kustannusarvio|Rakennusselostus'!O137</f>
        <v>0</v>
      </c>
      <c r="E137" s="205">
        <f t="shared" ref="E137:E147" si="2">C137*20+D137*60</f>
        <v>0</v>
      </c>
      <c r="F137" s="206">
        <f>'Kustannusarvio|Rakennusselostus'!Q137</f>
        <v>0</v>
      </c>
      <c r="G137" s="207">
        <f>'Kustannusarvio|Rakennusselostus'!R137</f>
        <v>0</v>
      </c>
      <c r="H137" s="19"/>
    </row>
    <row r="138" spans="1:8" x14ac:dyDescent="0.35">
      <c r="A138" s="19"/>
      <c r="B138" s="291" t="s">
        <v>41</v>
      </c>
      <c r="C138" s="174">
        <f>'Kustannusarvio|Rakennusselostus'!N138</f>
        <v>0</v>
      </c>
      <c r="D138" s="174">
        <f>'Kustannusarvio|Rakennusselostus'!O138</f>
        <v>0</v>
      </c>
      <c r="E138" s="205">
        <f t="shared" si="2"/>
        <v>0</v>
      </c>
      <c r="F138" s="206">
        <f>'Kustannusarvio|Rakennusselostus'!Q138</f>
        <v>0</v>
      </c>
      <c r="G138" s="207">
        <f>'Kustannusarvio|Rakennusselostus'!R138</f>
        <v>0</v>
      </c>
      <c r="H138" s="19"/>
    </row>
    <row r="139" spans="1:8" x14ac:dyDescent="0.35">
      <c r="A139" s="19"/>
      <c r="B139" s="291" t="s">
        <v>42</v>
      </c>
      <c r="C139" s="174">
        <f>'Kustannusarvio|Rakennusselostus'!N139</f>
        <v>0</v>
      </c>
      <c r="D139" s="174">
        <f>'Kustannusarvio|Rakennusselostus'!O139</f>
        <v>0</v>
      </c>
      <c r="E139" s="205">
        <f t="shared" si="2"/>
        <v>0</v>
      </c>
      <c r="F139" s="206">
        <f>'Kustannusarvio|Rakennusselostus'!Q139</f>
        <v>0</v>
      </c>
      <c r="G139" s="207">
        <f>'Kustannusarvio|Rakennusselostus'!R139</f>
        <v>0</v>
      </c>
      <c r="H139" s="19"/>
    </row>
    <row r="140" spans="1:8" x14ac:dyDescent="0.35">
      <c r="A140" s="19"/>
      <c r="B140" s="291" t="s">
        <v>146</v>
      </c>
      <c r="C140" s="174">
        <f>'Kustannusarvio|Rakennusselostus'!N140</f>
        <v>0</v>
      </c>
      <c r="D140" s="174">
        <f>'Kustannusarvio|Rakennusselostus'!O140</f>
        <v>0</v>
      </c>
      <c r="E140" s="205">
        <f t="shared" si="2"/>
        <v>0</v>
      </c>
      <c r="F140" s="206">
        <f>'Kustannusarvio|Rakennusselostus'!Q140</f>
        <v>0</v>
      </c>
      <c r="G140" s="207">
        <f>'Kustannusarvio|Rakennusselostus'!R140</f>
        <v>0</v>
      </c>
      <c r="H140" s="19"/>
    </row>
    <row r="141" spans="1:8" x14ac:dyDescent="0.35">
      <c r="A141" s="19"/>
      <c r="B141" s="291" t="s">
        <v>29</v>
      </c>
      <c r="C141" s="174">
        <f>'Kustannusarvio|Rakennusselostus'!N141</f>
        <v>0</v>
      </c>
      <c r="D141" s="174">
        <f>'Kustannusarvio|Rakennusselostus'!O141</f>
        <v>0</v>
      </c>
      <c r="E141" s="205">
        <f t="shared" si="2"/>
        <v>0</v>
      </c>
      <c r="F141" s="206">
        <f>'Kustannusarvio|Rakennusselostus'!Q141</f>
        <v>0</v>
      </c>
      <c r="G141" s="207">
        <f>'Kustannusarvio|Rakennusselostus'!R141</f>
        <v>0</v>
      </c>
      <c r="H141" s="19"/>
    </row>
    <row r="142" spans="1:8" x14ac:dyDescent="0.35">
      <c r="A142" s="19"/>
      <c r="B142" s="291" t="s">
        <v>38</v>
      </c>
      <c r="C142" s="174">
        <f>'Kustannusarvio|Rakennusselostus'!N142</f>
        <v>0</v>
      </c>
      <c r="D142" s="174">
        <f>'Kustannusarvio|Rakennusselostus'!O142</f>
        <v>0</v>
      </c>
      <c r="E142" s="205">
        <f t="shared" si="2"/>
        <v>0</v>
      </c>
      <c r="F142" s="206">
        <f>'Kustannusarvio|Rakennusselostus'!Q142</f>
        <v>0</v>
      </c>
      <c r="G142" s="207">
        <f>'Kustannusarvio|Rakennusselostus'!R142</f>
        <v>0</v>
      </c>
      <c r="H142" s="19"/>
    </row>
    <row r="143" spans="1:8" x14ac:dyDescent="0.35">
      <c r="A143" s="19"/>
      <c r="B143" s="291" t="s">
        <v>155</v>
      </c>
      <c r="C143" s="174">
        <f>'Kustannusarvio|Rakennusselostus'!N143</f>
        <v>0</v>
      </c>
      <c r="D143" s="174">
        <f>'Kustannusarvio|Rakennusselostus'!O143</f>
        <v>0</v>
      </c>
      <c r="E143" s="205">
        <f t="shared" si="2"/>
        <v>0</v>
      </c>
      <c r="F143" s="206">
        <f>'Kustannusarvio|Rakennusselostus'!Q143</f>
        <v>0</v>
      </c>
      <c r="G143" s="207">
        <f>'Kustannusarvio|Rakennusselostus'!R143</f>
        <v>0</v>
      </c>
      <c r="H143" s="19"/>
    </row>
    <row r="144" spans="1:8" x14ac:dyDescent="0.35">
      <c r="A144" s="19"/>
      <c r="B144" s="293" t="str">
        <f>SUBSTITUTE(IF('Kustannusarvio|Rakennusselostus'!C144="",'Kustannusarvio|Rakennusselostus'!B144,'Kustannusarvio|Rakennusselostus'!C144),":","")</f>
        <v>Muu kustannus</v>
      </c>
      <c r="C144" s="174">
        <f>'Kustannusarvio|Rakennusselostus'!N144</f>
        <v>0</v>
      </c>
      <c r="D144" s="174">
        <f>'Kustannusarvio|Rakennusselostus'!O144</f>
        <v>0</v>
      </c>
      <c r="E144" s="205">
        <f t="shared" si="2"/>
        <v>0</v>
      </c>
      <c r="F144" s="206">
        <f>'Kustannusarvio|Rakennusselostus'!Q144</f>
        <v>0</v>
      </c>
      <c r="G144" s="207">
        <f>'Kustannusarvio|Rakennusselostus'!R144</f>
        <v>0</v>
      </c>
      <c r="H144" s="19"/>
    </row>
    <row r="145" spans="1:8" x14ac:dyDescent="0.35">
      <c r="A145" s="19"/>
      <c r="B145" s="293" t="str">
        <f>SUBSTITUTE(IF('Kustannusarvio|Rakennusselostus'!C145="",'Kustannusarvio|Rakennusselostus'!B145,'Kustannusarvio|Rakennusselostus'!C145),":","")</f>
        <v>Muu kustannus</v>
      </c>
      <c r="C145" s="174">
        <f>'Kustannusarvio|Rakennusselostus'!N145</f>
        <v>0</v>
      </c>
      <c r="D145" s="174">
        <f>'Kustannusarvio|Rakennusselostus'!O145</f>
        <v>0</v>
      </c>
      <c r="E145" s="205">
        <f t="shared" si="2"/>
        <v>0</v>
      </c>
      <c r="F145" s="206">
        <f>'Kustannusarvio|Rakennusselostus'!Q145</f>
        <v>0</v>
      </c>
      <c r="G145" s="207">
        <f>'Kustannusarvio|Rakennusselostus'!R145</f>
        <v>0</v>
      </c>
      <c r="H145" s="19"/>
    </row>
    <row r="146" spans="1:8" x14ac:dyDescent="0.35">
      <c r="A146" s="19"/>
      <c r="B146" s="293" t="str">
        <f>SUBSTITUTE(IF('Kustannusarvio|Rakennusselostus'!C146="",'Kustannusarvio|Rakennusselostus'!B146,'Kustannusarvio|Rakennusselostus'!C146),":","")</f>
        <v>Muu kustannus</v>
      </c>
      <c r="C146" s="174">
        <f>'Kustannusarvio|Rakennusselostus'!N146</f>
        <v>0</v>
      </c>
      <c r="D146" s="174">
        <f>'Kustannusarvio|Rakennusselostus'!O146</f>
        <v>0</v>
      </c>
      <c r="E146" s="205">
        <f t="shared" si="2"/>
        <v>0</v>
      </c>
      <c r="F146" s="206">
        <f>'Kustannusarvio|Rakennusselostus'!Q146</f>
        <v>0</v>
      </c>
      <c r="G146" s="207">
        <f>'Kustannusarvio|Rakennusselostus'!R146</f>
        <v>0</v>
      </c>
      <c r="H146" s="19"/>
    </row>
    <row r="147" spans="1:8" ht="15" thickBot="1" x14ac:dyDescent="0.4">
      <c r="A147" s="260"/>
      <c r="B147" s="293" t="str">
        <f>SUBSTITUTE(IF('Kustannusarvio|Rakennusselostus'!C147="",'Kustannusarvio|Rakennusselostus'!B147,'Kustannusarvio|Rakennusselostus'!C147),":","")</f>
        <v>Muu kustannus</v>
      </c>
      <c r="C147" s="211">
        <f>'Kustannusarvio|Rakennusselostus'!N147</f>
        <v>0</v>
      </c>
      <c r="D147" s="211">
        <f>'Kustannusarvio|Rakennusselostus'!O147</f>
        <v>0</v>
      </c>
      <c r="E147" s="212">
        <f t="shared" si="2"/>
        <v>0</v>
      </c>
      <c r="F147" s="209">
        <f>'Kustannusarvio|Rakennusselostus'!Q147</f>
        <v>0</v>
      </c>
      <c r="G147" s="210">
        <f>'Kustannusarvio|Rakennusselostus'!R147</f>
        <v>0</v>
      </c>
      <c r="H147" s="19"/>
    </row>
    <row r="148" spans="1:8" ht="15" thickTop="1" x14ac:dyDescent="0.35">
      <c r="B148" s="306" t="s">
        <v>207</v>
      </c>
      <c r="C148" s="261">
        <f>SUM(C8:C147)</f>
        <v>0</v>
      </c>
      <c r="D148" s="132">
        <f>SUM(D8:D147)</f>
        <v>0</v>
      </c>
      <c r="E148" s="228">
        <f>SUM(E8:E147)</f>
        <v>0</v>
      </c>
    </row>
    <row r="149" spans="1:8" x14ac:dyDescent="0.35">
      <c r="C149" s="131" t="s">
        <v>199</v>
      </c>
      <c r="D149" s="131" t="s">
        <v>199</v>
      </c>
      <c r="E149" s="128" t="s">
        <v>200</v>
      </c>
    </row>
  </sheetData>
  <sheetProtection algorithmName="SHA-512" hashValue="jKXcqdo+DAz9K1CRtSQs651Ukm2Ws3GQfCwYCcp2zJHjB630M34ViBiA/U8V2FrlgOZ7aHayAD+BEIHiXJX3Ow==" saltValue="1mlu/eDuThHwzilBkzIm8Q==" spinCount="100000" sheet="1" objects="1" scenarios="1" formatCells="0" selectLockedCells="1"/>
  <mergeCells count="5">
    <mergeCell ref="C1:G1"/>
    <mergeCell ref="B5:G5"/>
    <mergeCell ref="C2:G2"/>
    <mergeCell ref="C3:G3"/>
    <mergeCell ref="C4:G4"/>
  </mergeCells>
  <conditionalFormatting sqref="E8:E147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&amp;C&amp;G&amp;R&amp;G</oddHeader>
    <oddFooter>&amp;R&amp;9Lomake tuotettu Outokaita tuottamhan ry:n Vasara ja nauloja -hankkeessa</oddFooter>
  </headerFooter>
  <rowBreaks count="1" manualBreakCount="1">
    <brk id="65" max="7" man="1"/>
  </rowBreaks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DACD-D03D-4AC0-AF02-5DB408AA0710}">
  <sheetPr codeName="Taul31">
    <tabColor rgb="FFFFFF00"/>
    <pageSetUpPr fitToPage="1"/>
  </sheetPr>
  <dimension ref="A1:T157"/>
  <sheetViews>
    <sheetView showGridLines="0" topLeftCell="A16" zoomScaleNormal="100" workbookViewId="0">
      <selection activeCell="D22" sqref="D22"/>
    </sheetView>
  </sheetViews>
  <sheetFormatPr defaultRowHeight="14.5" x14ac:dyDescent="0.35"/>
  <cols>
    <col min="1" max="1" width="1.1796875" customWidth="1"/>
    <col min="2" max="2" width="49.7265625" style="31" customWidth="1"/>
    <col min="3" max="3" width="12.54296875" customWidth="1"/>
    <col min="4" max="4" width="118.453125" style="31" customWidth="1"/>
    <col min="5" max="5" width="1" customWidth="1"/>
    <col min="6" max="6" width="9.453125" customWidth="1"/>
    <col min="7" max="7" width="13.54296875" customWidth="1"/>
    <col min="8" max="8" width="1.54296875" customWidth="1"/>
    <col min="9" max="10" width="9.1796875" customWidth="1"/>
    <col min="11" max="11" width="11.81640625" customWidth="1"/>
    <col min="12" max="12" width="34.54296875" customWidth="1"/>
  </cols>
  <sheetData>
    <row r="1" spans="1:20" ht="5.5" customHeight="1" x14ac:dyDescent="0.35">
      <c r="A1" s="19"/>
      <c r="B1" s="30"/>
      <c r="C1" s="19"/>
      <c r="D1" s="30"/>
      <c r="E1" s="19"/>
    </row>
    <row r="2" spans="1:20" ht="19.5" customHeight="1" x14ac:dyDescent="0.35">
      <c r="A2" s="19"/>
      <c r="B2" s="310"/>
      <c r="C2" s="346" t="s">
        <v>66</v>
      </c>
      <c r="D2" s="346"/>
      <c r="E2" s="19"/>
    </row>
    <row r="3" spans="1:20" s="21" customFormat="1" ht="15" customHeight="1" x14ac:dyDescent="0.3">
      <c r="A3" s="20"/>
      <c r="B3" s="303" t="s">
        <v>173</v>
      </c>
      <c r="C3" s="348">
        <f>'Hankkeen tiedot'!D5</f>
        <v>0</v>
      </c>
      <c r="D3" s="348"/>
      <c r="E3" s="20"/>
    </row>
    <row r="4" spans="1:20" s="21" customFormat="1" ht="13" x14ac:dyDescent="0.3">
      <c r="A4" s="20"/>
      <c r="B4" s="303" t="s">
        <v>174</v>
      </c>
      <c r="C4" s="348">
        <f>'Hankkeen tiedot'!D6</f>
        <v>0</v>
      </c>
      <c r="D4" s="348"/>
      <c r="E4" s="20"/>
    </row>
    <row r="5" spans="1:20" s="21" customFormat="1" ht="13" customHeight="1" x14ac:dyDescent="0.3">
      <c r="A5" s="20"/>
      <c r="B5" s="303" t="s">
        <v>180</v>
      </c>
      <c r="C5" s="348">
        <f>'Hankkeen tiedot'!D7</f>
        <v>0</v>
      </c>
      <c r="D5" s="348"/>
      <c r="E5" s="20"/>
    </row>
    <row r="6" spans="1:20" s="21" customFormat="1" ht="13" x14ac:dyDescent="0.3">
      <c r="A6" s="20"/>
      <c r="B6" s="303" t="s">
        <v>175</v>
      </c>
      <c r="C6" s="348">
        <f>'Hankkeen tiedot'!D8</f>
        <v>0</v>
      </c>
      <c r="D6" s="348"/>
      <c r="E6" s="20"/>
    </row>
    <row r="7" spans="1:20" s="21" customFormat="1" ht="13" x14ac:dyDescent="0.3">
      <c r="A7" s="20"/>
      <c r="B7" s="303" t="s">
        <v>181</v>
      </c>
      <c r="C7" s="348">
        <f>'Hankkeen tiedot'!D9</f>
        <v>0</v>
      </c>
      <c r="D7" s="348"/>
      <c r="E7" s="20"/>
    </row>
    <row r="8" spans="1:20" s="21" customFormat="1" ht="13" x14ac:dyDescent="0.3">
      <c r="A8" s="20"/>
      <c r="B8" s="303" t="s">
        <v>178</v>
      </c>
      <c r="C8" s="347">
        <f>'Hankkeen tiedot'!D10</f>
        <v>0</v>
      </c>
      <c r="D8" s="347"/>
      <c r="E8" s="20"/>
    </row>
    <row r="9" spans="1:20" x14ac:dyDescent="0.35">
      <c r="A9" s="19"/>
      <c r="B9" s="311" t="s">
        <v>182</v>
      </c>
      <c r="C9" s="344">
        <f>'Hankkeen tiedot'!D19</f>
        <v>0</v>
      </c>
      <c r="D9" s="344"/>
      <c r="E9" s="19"/>
    </row>
    <row r="10" spans="1:20" x14ac:dyDescent="0.35">
      <c r="A10" s="19"/>
      <c r="B10" s="311" t="s">
        <v>183</v>
      </c>
      <c r="C10" s="344">
        <f>'Hankkeen tiedot'!D20</f>
        <v>0</v>
      </c>
      <c r="D10" s="344"/>
      <c r="E10" s="19"/>
    </row>
    <row r="11" spans="1:20" s="21" customFormat="1" ht="13" x14ac:dyDescent="0.3">
      <c r="A11" s="22"/>
      <c r="B11" s="311" t="s">
        <v>184</v>
      </c>
      <c r="C11" s="344">
        <f>'Hankkeen tiedot'!D21</f>
        <v>0</v>
      </c>
      <c r="D11" s="344"/>
      <c r="E11" s="20"/>
      <c r="F11" s="24"/>
      <c r="G11" s="24"/>
      <c r="H11" s="24"/>
      <c r="I11" s="24"/>
      <c r="J11" s="25"/>
      <c r="K11" s="25"/>
      <c r="L11" s="26"/>
      <c r="N11" s="25"/>
      <c r="O11" s="25"/>
      <c r="P11" s="25"/>
      <c r="Q11" s="25"/>
      <c r="R11" s="25"/>
      <c r="S11" s="25"/>
      <c r="T11" s="25"/>
    </row>
    <row r="12" spans="1:20" s="21" customFormat="1" ht="13" x14ac:dyDescent="0.3">
      <c r="A12" s="22"/>
      <c r="B12" s="311" t="s">
        <v>185</v>
      </c>
      <c r="C12" s="102">
        <f>'Hankkeen tiedot'!D22</f>
        <v>0</v>
      </c>
      <c r="D12" s="104"/>
      <c r="E12" s="20"/>
      <c r="F12" s="24"/>
      <c r="H12" s="24"/>
      <c r="J12" s="25"/>
      <c r="K12" s="25"/>
      <c r="L12" s="26"/>
      <c r="N12" s="25"/>
      <c r="O12" s="25"/>
      <c r="P12" s="25"/>
      <c r="Q12" s="25"/>
      <c r="R12" s="25"/>
      <c r="S12" s="25"/>
      <c r="T12" s="25"/>
    </row>
    <row r="13" spans="1:20" s="21" customFormat="1" ht="13" x14ac:dyDescent="0.3">
      <c r="A13" s="22"/>
      <c r="B13" s="312"/>
      <c r="D13" s="104"/>
      <c r="E13" s="20"/>
      <c r="F13" s="24"/>
      <c r="H13" s="24"/>
      <c r="J13" s="25"/>
      <c r="K13" s="25"/>
      <c r="L13" s="26"/>
      <c r="N13" s="25"/>
      <c r="O13" s="25"/>
      <c r="P13" s="25"/>
      <c r="Q13" s="25"/>
      <c r="R13" s="25"/>
      <c r="S13" s="25"/>
      <c r="T13" s="25"/>
    </row>
    <row r="14" spans="1:20" s="21" customFormat="1" ht="26" x14ac:dyDescent="0.3">
      <c r="A14" s="22"/>
      <c r="B14" s="312"/>
      <c r="C14" s="103" t="s">
        <v>33</v>
      </c>
      <c r="D14" s="323" t="s">
        <v>34</v>
      </c>
      <c r="E14" s="20"/>
      <c r="F14" s="24"/>
      <c r="H14" s="24"/>
      <c r="J14" s="25"/>
      <c r="K14" s="25"/>
      <c r="L14" s="26"/>
      <c r="N14" s="25"/>
      <c r="O14" s="25"/>
      <c r="P14" s="25"/>
      <c r="Q14" s="25"/>
      <c r="R14" s="25"/>
      <c r="S14" s="25"/>
      <c r="T14" s="25"/>
    </row>
    <row r="15" spans="1:20" s="21" customFormat="1" ht="5.5" customHeight="1" x14ac:dyDescent="0.3">
      <c r="A15" s="22"/>
      <c r="B15" s="313"/>
      <c r="C15" s="27"/>
      <c r="D15" s="27"/>
      <c r="E15" s="20"/>
      <c r="F15" s="24"/>
      <c r="H15" s="24"/>
      <c r="J15" s="25"/>
      <c r="K15" s="25"/>
      <c r="L15" s="26"/>
      <c r="N15" s="25"/>
      <c r="O15" s="25"/>
      <c r="P15" s="25"/>
      <c r="Q15" s="25"/>
      <c r="R15" s="25"/>
      <c r="S15" s="25"/>
      <c r="T15" s="25"/>
    </row>
    <row r="16" spans="1:20" s="31" customFormat="1" x14ac:dyDescent="0.35">
      <c r="A16" s="28" t="s">
        <v>138</v>
      </c>
      <c r="B16" s="29"/>
      <c r="C16" s="280"/>
      <c r="D16" s="279"/>
      <c r="E16" s="30"/>
    </row>
    <row r="17" spans="1:5" s="31" customFormat="1" x14ac:dyDescent="0.35">
      <c r="A17" s="19"/>
      <c r="B17" s="314" t="s">
        <v>135</v>
      </c>
      <c r="C17" s="157">
        <f>'Kustannusarvio|Rakennusselostus'!L8+'Kustannusarvio|Rakennusselostus'!P8</f>
        <v>0</v>
      </c>
      <c r="D17" s="136" t="str" cm="1">
        <f t="array" ref="D17">'Kustannusarvio|Rakennusselostus'!T8:T8</f>
        <v>Ei toimenpiteitä</v>
      </c>
      <c r="E17" s="30"/>
    </row>
    <row r="18" spans="1:5" s="31" customFormat="1" x14ac:dyDescent="0.35">
      <c r="A18" s="19"/>
      <c r="B18" s="314" t="s">
        <v>136</v>
      </c>
      <c r="C18" s="157">
        <f>'Kustannusarvio|Rakennusselostus'!L9+'Kustannusarvio|Rakennusselostus'!P9</f>
        <v>0</v>
      </c>
      <c r="D18" s="136" t="str" cm="1">
        <f t="array" ref="D18">'Kustannusarvio|Rakennusselostus'!T9:T9</f>
        <v>Ei toimenpiteitä</v>
      </c>
      <c r="E18" s="30"/>
    </row>
    <row r="19" spans="1:5" s="31" customFormat="1" x14ac:dyDescent="0.35">
      <c r="A19" s="19"/>
      <c r="B19" s="314" t="s">
        <v>137</v>
      </c>
      <c r="C19" s="157">
        <f>'Kustannusarvio|Rakennusselostus'!L10+'Kustannusarvio|Rakennusselostus'!P10</f>
        <v>0</v>
      </c>
      <c r="D19" s="136" t="str" cm="1">
        <f t="array" ref="D19">'Kustannusarvio|Rakennusselostus'!T10:T10</f>
        <v>Ei toimenpiteitä</v>
      </c>
      <c r="E19" s="30"/>
    </row>
    <row r="20" spans="1:5" s="31" customFormat="1" x14ac:dyDescent="0.35">
      <c r="A20" s="19"/>
      <c r="B20" s="314" t="s">
        <v>139</v>
      </c>
      <c r="C20" s="157">
        <f>'Kustannusarvio|Rakennusselostus'!L11+'Kustannusarvio|Rakennusselostus'!P11</f>
        <v>0</v>
      </c>
      <c r="D20" s="136" t="str" cm="1">
        <f t="array" ref="D20">'Kustannusarvio|Rakennusselostus'!T11:T11</f>
        <v>Ei toimenpiteitä</v>
      </c>
      <c r="E20" s="30"/>
    </row>
    <row r="21" spans="1:5" s="31" customFormat="1" x14ac:dyDescent="0.35">
      <c r="A21" s="19"/>
      <c r="B21" s="315" t="s">
        <v>11</v>
      </c>
      <c r="C21" s="157">
        <f>'Kustannusarvio|Rakennusselostus'!L12+'Kustannusarvio|Rakennusselostus'!P12</f>
        <v>0</v>
      </c>
      <c r="D21" s="136" t="str" cm="1">
        <f t="array" ref="D21">'Kustannusarvio|Rakennusselostus'!T12:T12</f>
        <v>Ei toimenpiteitä</v>
      </c>
      <c r="E21" s="30"/>
    </row>
    <row r="22" spans="1:5" s="31" customFormat="1" x14ac:dyDescent="0.35">
      <c r="A22" s="19"/>
      <c r="B22" s="315" t="s">
        <v>12</v>
      </c>
      <c r="C22" s="157">
        <f>'Kustannusarvio|Rakennusselostus'!L13+'Kustannusarvio|Rakennusselostus'!P13</f>
        <v>0</v>
      </c>
      <c r="D22" s="136" t="str" cm="1">
        <f t="array" ref="D22">'Kustannusarvio|Rakennusselostus'!T13:T13</f>
        <v>Ei toimenpiteitä</v>
      </c>
      <c r="E22" s="30"/>
    </row>
    <row r="23" spans="1:5" s="31" customFormat="1" x14ac:dyDescent="0.35">
      <c r="A23" s="19"/>
      <c r="B23" s="315" t="s">
        <v>13</v>
      </c>
      <c r="C23" s="157">
        <f>'Kustannusarvio|Rakennusselostus'!L14+'Kustannusarvio|Rakennusselostus'!P14</f>
        <v>0</v>
      </c>
      <c r="D23" s="136" t="str" cm="1">
        <f t="array" ref="D23">'Kustannusarvio|Rakennusselostus'!T14:T14</f>
        <v>Ei toimenpiteitä</v>
      </c>
      <c r="E23" s="30"/>
    </row>
    <row r="24" spans="1:5" s="31" customFormat="1" x14ac:dyDescent="0.35">
      <c r="A24" s="19"/>
      <c r="B24" s="315" t="s">
        <v>190</v>
      </c>
      <c r="C24" s="157">
        <f>'Kustannusarvio|Rakennusselostus'!L15+'Kustannusarvio|Rakennusselostus'!P15</f>
        <v>0</v>
      </c>
      <c r="D24" s="136" t="str" cm="1">
        <f t="array" ref="D24">'Kustannusarvio|Rakennusselostus'!T15:T15</f>
        <v>Ei toimenpiteitä</v>
      </c>
      <c r="E24" s="30"/>
    </row>
    <row r="25" spans="1:5" s="31" customFormat="1" x14ac:dyDescent="0.35">
      <c r="A25" s="19"/>
      <c r="B25" s="316" t="str">
        <f>SUBSTITUTE(IF('Kustannusarvio|Rakennusselostus'!C16="",'Kustannusarvio|Rakennusselostus'!B16,'Kustannusarvio|Rakennusselostus'!C16),":","")</f>
        <v>Muu maksu</v>
      </c>
      <c r="C25" s="157">
        <f>'Kustannusarvio|Rakennusselostus'!L16+'Kustannusarvio|Rakennusselostus'!P16</f>
        <v>0</v>
      </c>
      <c r="D25" s="136" t="str" cm="1">
        <f t="array" ref="D25">'Kustannusarvio|Rakennusselostus'!T16:T16</f>
        <v>Ei toimenpiteitä</v>
      </c>
      <c r="E25" s="30"/>
    </row>
    <row r="26" spans="1:5" s="31" customFormat="1" x14ac:dyDescent="0.35">
      <c r="A26" s="19"/>
      <c r="B26" s="316" t="str">
        <f>SUBSTITUTE(IF('Kustannusarvio|Rakennusselostus'!C17="",'Kustannusarvio|Rakennusselostus'!B17,'Kustannusarvio|Rakennusselostus'!C17),":","")</f>
        <v>Muu maksu</v>
      </c>
      <c r="C26" s="157">
        <f>'Kustannusarvio|Rakennusselostus'!L17+'Kustannusarvio|Rakennusselostus'!P17</f>
        <v>0</v>
      </c>
      <c r="D26" s="136" t="str" cm="1">
        <f t="array" ref="D26">'Kustannusarvio|Rakennusselostus'!T17:T17</f>
        <v>Ei toimenpiteitä</v>
      </c>
      <c r="E26" s="30"/>
    </row>
    <row r="27" spans="1:5" s="31" customFormat="1" x14ac:dyDescent="0.35">
      <c r="A27" s="28" t="s">
        <v>67</v>
      </c>
      <c r="B27" s="29"/>
      <c r="C27" s="282"/>
      <c r="D27" s="281"/>
      <c r="E27" s="30"/>
    </row>
    <row r="28" spans="1:5" s="31" customFormat="1" x14ac:dyDescent="0.35">
      <c r="A28" s="15" t="s">
        <v>98</v>
      </c>
      <c r="B28" s="304"/>
      <c r="C28" s="284"/>
      <c r="D28" s="283"/>
      <c r="E28" s="30"/>
    </row>
    <row r="29" spans="1:5" s="31" customFormat="1" x14ac:dyDescent="0.35">
      <c r="A29" s="19"/>
      <c r="B29" s="315" t="s">
        <v>69</v>
      </c>
      <c r="C29" s="157">
        <f>'Kustannusarvio|Rakennusselostus'!L20+'Kustannusarvio|Rakennusselostus'!P20</f>
        <v>0</v>
      </c>
      <c r="D29" s="136" t="str" cm="1">
        <f t="array" ref="D29">'Kustannusarvio|Rakennusselostus'!T20:T20</f>
        <v>Ei toimenpiteitä</v>
      </c>
      <c r="E29" s="30"/>
    </row>
    <row r="30" spans="1:5" s="31" customFormat="1" x14ac:dyDescent="0.35">
      <c r="A30" s="19"/>
      <c r="B30" s="315" t="s">
        <v>68</v>
      </c>
      <c r="C30" s="157">
        <f>'Kustannusarvio|Rakennusselostus'!L21+'Kustannusarvio|Rakennusselostus'!P21</f>
        <v>0</v>
      </c>
      <c r="D30" s="136" t="str" cm="1">
        <f t="array" ref="D30">'Kustannusarvio|Rakennusselostus'!T21:T21</f>
        <v>Ei toimenpiteitä</v>
      </c>
      <c r="E30" s="30"/>
    </row>
    <row r="31" spans="1:5" s="31" customFormat="1" x14ac:dyDescent="0.35">
      <c r="A31" s="19"/>
      <c r="B31" s="315" t="s">
        <v>39</v>
      </c>
      <c r="C31" s="157">
        <f>'Kustannusarvio|Rakennusselostus'!L22+'Kustannusarvio|Rakennusselostus'!P22</f>
        <v>0</v>
      </c>
      <c r="D31" s="136" t="str" cm="1">
        <f t="array" ref="D31">'Kustannusarvio|Rakennusselostus'!T22:T22</f>
        <v>Ei toimenpiteitä</v>
      </c>
      <c r="E31" s="30"/>
    </row>
    <row r="32" spans="1:5" s="31" customFormat="1" x14ac:dyDescent="0.35">
      <c r="A32" s="19"/>
      <c r="B32" s="314" t="s">
        <v>40</v>
      </c>
      <c r="C32" s="157">
        <f>'Kustannusarvio|Rakennusselostus'!L23+'Kustannusarvio|Rakennusselostus'!P23</f>
        <v>0</v>
      </c>
      <c r="D32" s="136" t="str" cm="1">
        <f t="array" ref="D32">'Kustannusarvio|Rakennusselostus'!T23:T23</f>
        <v>Ei toimenpiteitä</v>
      </c>
      <c r="E32" s="30"/>
    </row>
    <row r="33" spans="1:5" s="31" customFormat="1" x14ac:dyDescent="0.35">
      <c r="A33" s="19"/>
      <c r="B33" s="317" t="s">
        <v>36</v>
      </c>
      <c r="C33" s="157">
        <f>'Kustannusarvio|Rakennusselostus'!L24+'Kustannusarvio|Rakennusselostus'!P24</f>
        <v>0</v>
      </c>
      <c r="D33" s="136" t="str" cm="1">
        <f t="array" ref="D33">'Kustannusarvio|Rakennusselostus'!T24:T24</f>
        <v>Ei toimenpiteitä</v>
      </c>
      <c r="E33" s="30"/>
    </row>
    <row r="34" spans="1:5" s="31" customFormat="1" x14ac:dyDescent="0.35">
      <c r="A34" s="19"/>
      <c r="B34" s="317" t="s">
        <v>14</v>
      </c>
      <c r="C34" s="157">
        <f>'Kustannusarvio|Rakennusselostus'!L25+'Kustannusarvio|Rakennusselostus'!P25</f>
        <v>0</v>
      </c>
      <c r="D34" s="136" t="str" cm="1">
        <f t="array" ref="D34">'Kustannusarvio|Rakennusselostus'!T25:T25</f>
        <v>Ei toimenpiteitä</v>
      </c>
      <c r="E34" s="30"/>
    </row>
    <row r="35" spans="1:5" s="31" customFormat="1" x14ac:dyDescent="0.35">
      <c r="A35" s="19"/>
      <c r="B35" s="317" t="s">
        <v>15</v>
      </c>
      <c r="C35" s="157">
        <f>'Kustannusarvio|Rakennusselostus'!L26+'Kustannusarvio|Rakennusselostus'!P26</f>
        <v>0</v>
      </c>
      <c r="D35" s="136" t="str" cm="1">
        <f t="array" ref="D35">'Kustannusarvio|Rakennusselostus'!T26:T26</f>
        <v>Ei toimenpiteitä</v>
      </c>
      <c r="E35" s="30"/>
    </row>
    <row r="36" spans="1:5" s="31" customFormat="1" x14ac:dyDescent="0.35">
      <c r="A36" s="19"/>
      <c r="B36" s="318" t="s">
        <v>73</v>
      </c>
      <c r="C36" s="157">
        <f>'Kustannusarvio|Rakennusselostus'!L27+'Kustannusarvio|Rakennusselostus'!P27</f>
        <v>0</v>
      </c>
      <c r="D36" s="136" t="str" cm="1">
        <f t="array" ref="D36">'Kustannusarvio|Rakennusselostus'!T27:T27</f>
        <v>Ei toimenpiteitä</v>
      </c>
      <c r="E36" s="30"/>
    </row>
    <row r="37" spans="1:5" s="31" customFormat="1" x14ac:dyDescent="0.35">
      <c r="A37" s="19"/>
      <c r="B37" s="314" t="s">
        <v>70</v>
      </c>
      <c r="C37" s="157">
        <f>'Kustannusarvio|Rakennusselostus'!L28+'Kustannusarvio|Rakennusselostus'!P28</f>
        <v>0</v>
      </c>
      <c r="D37" s="136" t="str" cm="1">
        <f t="array" ref="D37">'Kustannusarvio|Rakennusselostus'!T28:T28</f>
        <v>Ei toimenpiteitä</v>
      </c>
      <c r="E37" s="30"/>
    </row>
    <row r="38" spans="1:5" s="31" customFormat="1" x14ac:dyDescent="0.35">
      <c r="A38" s="19"/>
      <c r="B38" s="314" t="s">
        <v>71</v>
      </c>
      <c r="C38" s="157">
        <f>'Kustannusarvio|Rakennusselostus'!L29+'Kustannusarvio|Rakennusselostus'!P29</f>
        <v>0</v>
      </c>
      <c r="D38" s="136" t="str" cm="1">
        <f t="array" ref="D38">'Kustannusarvio|Rakennusselostus'!T29:T29</f>
        <v>Ei toimenpiteitä</v>
      </c>
      <c r="E38" s="30"/>
    </row>
    <row r="39" spans="1:5" s="31" customFormat="1" x14ac:dyDescent="0.35">
      <c r="A39" s="19"/>
      <c r="B39" s="314" t="s">
        <v>72</v>
      </c>
      <c r="C39" s="157">
        <f>'Kustannusarvio|Rakennusselostus'!L30+'Kustannusarvio|Rakennusselostus'!P30</f>
        <v>0</v>
      </c>
      <c r="D39" s="136" t="str" cm="1">
        <f t="array" ref="D39">'Kustannusarvio|Rakennusselostus'!T30:T30</f>
        <v>Ei toimenpiteitä</v>
      </c>
      <c r="E39" s="30"/>
    </row>
    <row r="40" spans="1:5" s="31" customFormat="1" x14ac:dyDescent="0.35">
      <c r="A40" s="19"/>
      <c r="B40" s="314" t="s">
        <v>74</v>
      </c>
      <c r="C40" s="157">
        <f>'Kustannusarvio|Rakennusselostus'!L31+'Kustannusarvio|Rakennusselostus'!P31</f>
        <v>0</v>
      </c>
      <c r="D40" s="136" t="str" cm="1">
        <f t="array" ref="D40">'Kustannusarvio|Rakennusselostus'!T31:T31</f>
        <v>Ei toimenpiteitä</v>
      </c>
      <c r="E40" s="30"/>
    </row>
    <row r="41" spans="1:5" s="31" customFormat="1" x14ac:dyDescent="0.35">
      <c r="A41" s="19"/>
      <c r="B41" s="314" t="s">
        <v>75</v>
      </c>
      <c r="C41" s="157">
        <f>'Kustannusarvio|Rakennusselostus'!L32+'Kustannusarvio|Rakennusselostus'!P32</f>
        <v>0</v>
      </c>
      <c r="D41" s="136" t="str" cm="1">
        <f t="array" ref="D41">'Kustannusarvio|Rakennusselostus'!T32:T32</f>
        <v>Ei toimenpiteitä</v>
      </c>
      <c r="E41" s="30"/>
    </row>
    <row r="42" spans="1:5" s="31" customFormat="1" x14ac:dyDescent="0.35">
      <c r="A42" s="19"/>
      <c r="B42" s="314" t="s">
        <v>76</v>
      </c>
      <c r="C42" s="157">
        <f>'Kustannusarvio|Rakennusselostus'!L33+'Kustannusarvio|Rakennusselostus'!P33</f>
        <v>0</v>
      </c>
      <c r="D42" s="136" t="str" cm="1">
        <f t="array" ref="D42">'Kustannusarvio|Rakennusselostus'!T33:T33</f>
        <v>Ei toimenpiteitä</v>
      </c>
      <c r="E42" s="30"/>
    </row>
    <row r="43" spans="1:5" s="31" customFormat="1" x14ac:dyDescent="0.35">
      <c r="A43" s="19"/>
      <c r="B43" s="314" t="s">
        <v>130</v>
      </c>
      <c r="C43" s="157">
        <f>'Kustannusarvio|Rakennusselostus'!L34+'Kustannusarvio|Rakennusselostus'!P34</f>
        <v>0</v>
      </c>
      <c r="D43" s="136" t="str" cm="1">
        <f t="array" ref="D43">'Kustannusarvio|Rakennusselostus'!T34:T34</f>
        <v>Ei toimenpiteitä</v>
      </c>
      <c r="E43" s="30"/>
    </row>
    <row r="44" spans="1:5" s="31" customFormat="1" x14ac:dyDescent="0.35">
      <c r="A44" s="19"/>
      <c r="B44" s="314" t="s">
        <v>5</v>
      </c>
      <c r="C44" s="157">
        <f>'Kustannusarvio|Rakennusselostus'!L35+'Kustannusarvio|Rakennusselostus'!P35</f>
        <v>0</v>
      </c>
      <c r="D44" s="136" t="str" cm="1">
        <f t="array" ref="D44">'Kustannusarvio|Rakennusselostus'!T35:T35</f>
        <v>Ei toimenpiteitä</v>
      </c>
      <c r="E44" s="30"/>
    </row>
    <row r="45" spans="1:5" s="31" customFormat="1" x14ac:dyDescent="0.35">
      <c r="A45" s="19"/>
      <c r="B45" s="316" t="str">
        <f>SUBSTITUTE(IF('Kustannusarvio|Rakennusselostus'!C36="",'Kustannusarvio|Rakennusselostus'!B36,'Kustannusarvio|Rakennusselostus'!C36),":","")</f>
        <v>Muu rakennusosa</v>
      </c>
      <c r="C45" s="157">
        <f>'Kustannusarvio|Rakennusselostus'!L36+'Kustannusarvio|Rakennusselostus'!P36</f>
        <v>0</v>
      </c>
      <c r="D45" s="136" t="str" cm="1">
        <f t="array" ref="D45">'Kustannusarvio|Rakennusselostus'!T36:T36</f>
        <v>Ei toimenpiteitä</v>
      </c>
      <c r="E45" s="30"/>
    </row>
    <row r="46" spans="1:5" s="31" customFormat="1" x14ac:dyDescent="0.35">
      <c r="A46" s="19"/>
      <c r="B46" s="316" t="str">
        <f>SUBSTITUTE(IF('Kustannusarvio|Rakennusselostus'!C37="",'Kustannusarvio|Rakennusselostus'!B37,'Kustannusarvio|Rakennusselostus'!C37),":","")</f>
        <v>Muu rakennusosa</v>
      </c>
      <c r="C46" s="157">
        <f>'Kustannusarvio|Rakennusselostus'!L37+'Kustannusarvio|Rakennusselostus'!P37</f>
        <v>0</v>
      </c>
      <c r="D46" s="136" t="str" cm="1">
        <f t="array" ref="D46">'Kustannusarvio|Rakennusselostus'!T37:T37</f>
        <v>Ei toimenpiteitä</v>
      </c>
      <c r="E46" s="30"/>
    </row>
    <row r="47" spans="1:5" s="31" customFormat="1" x14ac:dyDescent="0.35">
      <c r="A47" s="28" t="s">
        <v>77</v>
      </c>
      <c r="B47" s="29"/>
      <c r="C47" s="282"/>
      <c r="D47" s="281"/>
      <c r="E47" s="30"/>
    </row>
    <row r="48" spans="1:5" s="31" customFormat="1" x14ac:dyDescent="0.35">
      <c r="A48" s="32" t="s">
        <v>35</v>
      </c>
      <c r="B48" s="301"/>
      <c r="C48" s="284"/>
      <c r="D48" s="283"/>
      <c r="E48" s="30"/>
    </row>
    <row r="49" spans="1:5" s="31" customFormat="1" x14ac:dyDescent="0.35">
      <c r="A49" s="19"/>
      <c r="B49" s="315" t="s">
        <v>81</v>
      </c>
      <c r="C49" s="157">
        <f>'Kustannusarvio|Rakennusselostus'!L40+'Kustannusarvio|Rakennusselostus'!P40</f>
        <v>0</v>
      </c>
      <c r="D49" s="136" t="str" cm="1">
        <f t="array" ref="D49">'Kustannusarvio|Rakennusselostus'!T40:T40</f>
        <v>Ei toimenpiteitä</v>
      </c>
      <c r="E49" s="30"/>
    </row>
    <row r="50" spans="1:5" s="31" customFormat="1" x14ac:dyDescent="0.35">
      <c r="A50" s="19"/>
      <c r="B50" s="314" t="s">
        <v>78</v>
      </c>
      <c r="C50" s="157">
        <f>'Kustannusarvio|Rakennusselostus'!L41+'Kustannusarvio|Rakennusselostus'!P41</f>
        <v>0</v>
      </c>
      <c r="D50" s="136" t="str" cm="1">
        <f t="array" ref="D50">'Kustannusarvio|Rakennusselostus'!T41:T41</f>
        <v>Ei toimenpiteitä</v>
      </c>
      <c r="E50" s="30"/>
    </row>
    <row r="51" spans="1:5" s="31" customFormat="1" x14ac:dyDescent="0.35">
      <c r="A51" s="19"/>
      <c r="B51" s="314" t="s">
        <v>37</v>
      </c>
      <c r="C51" s="157">
        <f>'Kustannusarvio|Rakennusselostus'!L42+'Kustannusarvio|Rakennusselostus'!P42</f>
        <v>0</v>
      </c>
      <c r="D51" s="136" t="str" cm="1">
        <f t="array" ref="D51">'Kustannusarvio|Rakennusselostus'!T42:T42</f>
        <v>Ei toimenpiteitä</v>
      </c>
      <c r="E51" s="30"/>
    </row>
    <row r="52" spans="1:5" s="31" customFormat="1" x14ac:dyDescent="0.35">
      <c r="A52" s="19"/>
      <c r="B52" s="314" t="s">
        <v>79</v>
      </c>
      <c r="C52" s="157">
        <f>'Kustannusarvio|Rakennusselostus'!L43+'Kustannusarvio|Rakennusselostus'!P43</f>
        <v>0</v>
      </c>
      <c r="D52" s="136" t="str" cm="1">
        <f t="array" ref="D52">'Kustannusarvio|Rakennusselostus'!T43:T43</f>
        <v>Ei toimenpiteitä</v>
      </c>
      <c r="E52" s="30"/>
    </row>
    <row r="53" spans="1:5" s="31" customFormat="1" x14ac:dyDescent="0.35">
      <c r="A53" s="19"/>
      <c r="B53" s="315" t="s">
        <v>80</v>
      </c>
      <c r="C53" s="157">
        <f>'Kustannusarvio|Rakennusselostus'!L44+'Kustannusarvio|Rakennusselostus'!P44</f>
        <v>0</v>
      </c>
      <c r="D53" s="136" t="str" cm="1">
        <f t="array" ref="D53">'Kustannusarvio|Rakennusselostus'!T44:T44</f>
        <v>Ei toimenpiteitä</v>
      </c>
      <c r="E53" s="30"/>
    </row>
    <row r="54" spans="1:5" s="31" customFormat="1" x14ac:dyDescent="0.35">
      <c r="A54" s="19"/>
      <c r="B54" s="319" t="str">
        <f>SUBSTITUTE(IF('Kustannusarvio|Rakennusselostus'!C45="",'Kustannusarvio|Rakennusselostus'!B45,'Kustannusarvio|Rakennusselostus'!C45),":","")</f>
        <v>Muu rakenne</v>
      </c>
      <c r="C54" s="157">
        <f>'Kustannusarvio|Rakennusselostus'!L45+'Kustannusarvio|Rakennusselostus'!P45</f>
        <v>0</v>
      </c>
      <c r="D54" s="136" t="str" cm="1">
        <f t="array" ref="D54">'Kustannusarvio|Rakennusselostus'!T45:T45</f>
        <v>Ei toimenpiteitä</v>
      </c>
      <c r="E54" s="30"/>
    </row>
    <row r="55" spans="1:5" s="31" customFormat="1" x14ac:dyDescent="0.35">
      <c r="A55" s="32" t="s">
        <v>47</v>
      </c>
      <c r="B55" s="301"/>
      <c r="C55" s="284"/>
      <c r="D55" s="283"/>
      <c r="E55" s="30"/>
    </row>
    <row r="56" spans="1:5" s="31" customFormat="1" x14ac:dyDescent="0.35">
      <c r="A56" s="19"/>
      <c r="B56" s="315" t="s">
        <v>4</v>
      </c>
      <c r="C56" s="157">
        <f>'Kustannusarvio|Rakennusselostus'!L47+'Kustannusarvio|Rakennusselostus'!P47</f>
        <v>0</v>
      </c>
      <c r="D56" s="136" t="str" cm="1">
        <f t="array" ref="D56">'Kustannusarvio|Rakennusselostus'!T47:T47</f>
        <v>Ei toimenpiteitä</v>
      </c>
      <c r="E56" s="30"/>
    </row>
    <row r="57" spans="1:5" s="31" customFormat="1" x14ac:dyDescent="0.35">
      <c r="A57" s="19"/>
      <c r="B57" s="315" t="s">
        <v>37</v>
      </c>
      <c r="C57" s="157">
        <f>'Kustannusarvio|Rakennusselostus'!L48+'Kustannusarvio|Rakennusselostus'!P48</f>
        <v>0</v>
      </c>
      <c r="D57" s="136" t="str" cm="1">
        <f t="array" ref="D57">'Kustannusarvio|Rakennusselostus'!T48:T48</f>
        <v>Ei toimenpiteitä</v>
      </c>
      <c r="E57" s="30"/>
    </row>
    <row r="58" spans="1:5" s="31" customFormat="1" x14ac:dyDescent="0.35">
      <c r="A58" s="19"/>
      <c r="B58" s="315" t="s">
        <v>79</v>
      </c>
      <c r="C58" s="157">
        <f>'Kustannusarvio|Rakennusselostus'!L49+'Kustannusarvio|Rakennusselostus'!P49</f>
        <v>0</v>
      </c>
      <c r="D58" s="136" t="str" cm="1">
        <f t="array" ref="D58">'Kustannusarvio|Rakennusselostus'!T49:T49</f>
        <v>Ei toimenpiteitä</v>
      </c>
      <c r="E58" s="30"/>
    </row>
    <row r="59" spans="1:5" s="31" customFormat="1" x14ac:dyDescent="0.35">
      <c r="A59" s="19"/>
      <c r="B59" s="315" t="s">
        <v>82</v>
      </c>
      <c r="C59" s="157">
        <f>'Kustannusarvio|Rakennusselostus'!L50+'Kustannusarvio|Rakennusselostus'!P50</f>
        <v>0</v>
      </c>
      <c r="D59" s="136" t="str" cm="1">
        <f t="array" ref="D59">'Kustannusarvio|Rakennusselostus'!T50:T50</f>
        <v>Ei toimenpiteitä</v>
      </c>
      <c r="E59" s="30"/>
    </row>
    <row r="60" spans="1:5" s="31" customFormat="1" x14ac:dyDescent="0.35">
      <c r="A60" s="19"/>
      <c r="B60" s="315" t="s">
        <v>83</v>
      </c>
      <c r="C60" s="157">
        <f>'Kustannusarvio|Rakennusselostus'!L51+'Kustannusarvio|Rakennusselostus'!P51</f>
        <v>0</v>
      </c>
      <c r="D60" s="136" t="str" cm="1">
        <f t="array" ref="D60">'Kustannusarvio|Rakennusselostus'!T51:T51</f>
        <v>Ei toimenpiteitä</v>
      </c>
      <c r="E60" s="30"/>
    </row>
    <row r="61" spans="1:5" s="31" customFormat="1" x14ac:dyDescent="0.35">
      <c r="A61" s="19"/>
      <c r="B61" s="315" t="s">
        <v>84</v>
      </c>
      <c r="C61" s="157">
        <f>'Kustannusarvio|Rakennusselostus'!L52+'Kustannusarvio|Rakennusselostus'!P52</f>
        <v>0</v>
      </c>
      <c r="D61" s="136" t="str" cm="1">
        <f t="array" ref="D61">'Kustannusarvio|Rakennusselostus'!T52:T52</f>
        <v>Ei toimenpiteitä</v>
      </c>
      <c r="E61" s="30"/>
    </row>
    <row r="62" spans="1:5" s="31" customFormat="1" x14ac:dyDescent="0.35">
      <c r="A62" s="19"/>
      <c r="B62" s="318" t="s">
        <v>87</v>
      </c>
      <c r="C62" s="157">
        <f>'Kustannusarvio|Rakennusselostus'!L53+'Kustannusarvio|Rakennusselostus'!P53</f>
        <v>0</v>
      </c>
      <c r="D62" s="136" t="str" cm="1">
        <f t="array" ref="D62">'Kustannusarvio|Rakennusselostus'!T53:T53</f>
        <v>Ei toimenpiteitä</v>
      </c>
      <c r="E62" s="30"/>
    </row>
    <row r="63" spans="1:5" s="31" customFormat="1" x14ac:dyDescent="0.35">
      <c r="A63" s="19"/>
      <c r="B63" s="320" t="s">
        <v>194</v>
      </c>
      <c r="C63" s="157">
        <f>'Kustannusarvio|Rakennusselostus'!L54+'Kustannusarvio|Rakennusselostus'!P54</f>
        <v>0</v>
      </c>
      <c r="D63" s="136" t="str" cm="1">
        <f t="array" ref="D63">'Kustannusarvio|Rakennusselostus'!T54:T54</f>
        <v>Ei toimenpiteitä</v>
      </c>
      <c r="E63" s="30"/>
    </row>
    <row r="64" spans="1:5" s="31" customFormat="1" x14ac:dyDescent="0.35">
      <c r="A64" s="19"/>
      <c r="B64" s="320" t="s">
        <v>192</v>
      </c>
      <c r="C64" s="157">
        <f>'Kustannusarvio|Rakennusselostus'!L55+'Kustannusarvio|Rakennusselostus'!P55</f>
        <v>0</v>
      </c>
      <c r="D64" s="136" t="str" cm="1">
        <f t="array" ref="D64">'Kustannusarvio|Rakennusselostus'!T55:T55</f>
        <v>Ei toimenpiteitä</v>
      </c>
      <c r="E64" s="30"/>
    </row>
    <row r="65" spans="1:5" s="31" customFormat="1" x14ac:dyDescent="0.35">
      <c r="A65" s="19"/>
      <c r="B65" s="320" t="s">
        <v>193</v>
      </c>
      <c r="C65" s="157">
        <f>'Kustannusarvio|Rakennusselostus'!L56+'Kustannusarvio|Rakennusselostus'!P56</f>
        <v>0</v>
      </c>
      <c r="D65" s="136" t="str" cm="1">
        <f t="array" ref="D65">'Kustannusarvio|Rakennusselostus'!T56:T56</f>
        <v>Ei toimenpiteitä</v>
      </c>
      <c r="E65" s="30"/>
    </row>
    <row r="66" spans="1:5" s="31" customFormat="1" x14ac:dyDescent="0.35">
      <c r="A66" s="19"/>
      <c r="B66" s="320" t="s">
        <v>195</v>
      </c>
      <c r="C66" s="157">
        <f>'Kustannusarvio|Rakennusselostus'!L57+'Kustannusarvio|Rakennusselostus'!P57</f>
        <v>0</v>
      </c>
      <c r="D66" s="136" t="str" cm="1">
        <f t="array" ref="D66">'Kustannusarvio|Rakennusselostus'!T57:T57</f>
        <v>Ei toimenpiteitä</v>
      </c>
      <c r="E66" s="30"/>
    </row>
    <row r="67" spans="1:5" s="31" customFormat="1" x14ac:dyDescent="0.35">
      <c r="A67" s="19"/>
      <c r="B67" s="315" t="s">
        <v>48</v>
      </c>
      <c r="C67" s="157">
        <f>'Kustannusarvio|Rakennusselostus'!L58+'Kustannusarvio|Rakennusselostus'!P58</f>
        <v>0</v>
      </c>
      <c r="D67" s="136" t="str" cm="1">
        <f t="array" ref="D67">'Kustannusarvio|Rakennusselostus'!T58:T58</f>
        <v>Ei toimenpiteitä</v>
      </c>
      <c r="E67" s="30"/>
    </row>
    <row r="68" spans="1:5" s="31" customFormat="1" x14ac:dyDescent="0.35">
      <c r="A68" s="19"/>
      <c r="B68" s="321" t="str">
        <f>SUBSTITUTE(IF('Kustannusarvio|Rakennusselostus'!C59="",'Kustannusarvio|Rakennusselostus'!B59,'Kustannusarvio|Rakennusselostus'!C59),":","")</f>
        <v>Muu runkorakenne</v>
      </c>
      <c r="C68" s="157">
        <f>'Kustannusarvio|Rakennusselostus'!L59+'Kustannusarvio|Rakennusselostus'!P59</f>
        <v>0</v>
      </c>
      <c r="D68" s="136" t="str" cm="1">
        <f t="array" ref="D68">'Kustannusarvio|Rakennusselostus'!T59:T59</f>
        <v>Ei toimenpiteitä</v>
      </c>
      <c r="E68" s="30"/>
    </row>
    <row r="69" spans="1:5" s="31" customFormat="1" x14ac:dyDescent="0.35">
      <c r="A69" s="19"/>
      <c r="B69" s="321" t="str">
        <f>SUBSTITUTE(IF('Kustannusarvio|Rakennusselostus'!C60="",'Kustannusarvio|Rakennusselostus'!B60,'Kustannusarvio|Rakennusselostus'!C60),":","")</f>
        <v>Muu runkorakenne</v>
      </c>
      <c r="C69" s="157">
        <f>'Kustannusarvio|Rakennusselostus'!L60+'Kustannusarvio|Rakennusselostus'!P60</f>
        <v>0</v>
      </c>
      <c r="D69" s="136" t="str" cm="1">
        <f t="array" ref="D69">'Kustannusarvio|Rakennusselostus'!T60:T60</f>
        <v>Ei toimenpiteitä</v>
      </c>
      <c r="E69" s="30"/>
    </row>
    <row r="70" spans="1:5" s="31" customFormat="1" x14ac:dyDescent="0.35">
      <c r="A70" s="32" t="s">
        <v>85</v>
      </c>
      <c r="B70" s="301"/>
      <c r="C70" s="284"/>
      <c r="D70" s="283"/>
      <c r="E70" s="30"/>
    </row>
    <row r="71" spans="1:5" s="31" customFormat="1" x14ac:dyDescent="0.35">
      <c r="A71" s="19"/>
      <c r="B71" s="315" t="s">
        <v>116</v>
      </c>
      <c r="C71" s="157">
        <f>'Kustannusarvio|Rakennusselostus'!L62+'Kustannusarvio|Rakennusselostus'!P62</f>
        <v>0</v>
      </c>
      <c r="D71" s="136" t="str" cm="1">
        <f t="array" ref="D71">'Kustannusarvio|Rakennusselostus'!T62:T62</f>
        <v>Ei toimenpiteitä</v>
      </c>
      <c r="E71" s="30"/>
    </row>
    <row r="72" spans="1:5" s="31" customFormat="1" x14ac:dyDescent="0.35">
      <c r="A72" s="19"/>
      <c r="B72" s="315" t="s">
        <v>117</v>
      </c>
      <c r="C72" s="157">
        <f>'Kustannusarvio|Rakennusselostus'!L63+'Kustannusarvio|Rakennusselostus'!P63</f>
        <v>0</v>
      </c>
      <c r="D72" s="136" t="str" cm="1">
        <f t="array" ref="D72">'Kustannusarvio|Rakennusselostus'!T63:T63</f>
        <v>Ei toimenpiteitä</v>
      </c>
      <c r="E72" s="30"/>
    </row>
    <row r="73" spans="1:5" s="31" customFormat="1" x14ac:dyDescent="0.35">
      <c r="A73" s="19"/>
      <c r="B73" s="315" t="s">
        <v>118</v>
      </c>
      <c r="C73" s="157">
        <f>'Kustannusarvio|Rakennusselostus'!L64+'Kustannusarvio|Rakennusselostus'!P64</f>
        <v>0</v>
      </c>
      <c r="D73" s="136" t="str" cm="1">
        <f t="array" ref="D73">'Kustannusarvio|Rakennusselostus'!T64:T64</f>
        <v>Ei toimenpiteitä</v>
      </c>
      <c r="E73" s="30"/>
    </row>
    <row r="74" spans="1:5" s="31" customFormat="1" x14ac:dyDescent="0.35">
      <c r="A74" s="19"/>
      <c r="B74" s="315" t="s">
        <v>119</v>
      </c>
      <c r="C74" s="157">
        <f>'Kustannusarvio|Rakennusselostus'!L65+'Kustannusarvio|Rakennusselostus'!P65</f>
        <v>0</v>
      </c>
      <c r="D74" s="136" t="str" cm="1">
        <f t="array" ref="D74">'Kustannusarvio|Rakennusselostus'!T65:T65</f>
        <v>Ei toimenpiteitä</v>
      </c>
      <c r="E74" s="30"/>
    </row>
    <row r="75" spans="1:5" s="31" customFormat="1" x14ac:dyDescent="0.35">
      <c r="A75" s="19"/>
      <c r="B75" s="315" t="s">
        <v>6</v>
      </c>
      <c r="C75" s="157">
        <f>'Kustannusarvio|Rakennusselostus'!L66+'Kustannusarvio|Rakennusselostus'!P66</f>
        <v>0</v>
      </c>
      <c r="D75" s="136" t="str" cm="1">
        <f t="array" ref="D75">'Kustannusarvio|Rakennusselostus'!T66:T66</f>
        <v>Ei toimenpiteitä</v>
      </c>
      <c r="E75" s="30"/>
    </row>
    <row r="76" spans="1:5" s="31" customFormat="1" x14ac:dyDescent="0.35">
      <c r="A76" s="19"/>
      <c r="B76" s="315" t="s">
        <v>7</v>
      </c>
      <c r="C76" s="157">
        <f>'Kustannusarvio|Rakennusselostus'!L67+'Kustannusarvio|Rakennusselostus'!P67</f>
        <v>0</v>
      </c>
      <c r="D76" s="136" t="str" cm="1">
        <f t="array" ref="D76">'Kustannusarvio|Rakennusselostus'!T67:T67</f>
        <v>Ei toimenpiteitä</v>
      </c>
      <c r="E76" s="30"/>
    </row>
    <row r="77" spans="1:5" s="31" customFormat="1" x14ac:dyDescent="0.35">
      <c r="A77" s="19"/>
      <c r="B77" s="315" t="s">
        <v>86</v>
      </c>
      <c r="C77" s="157">
        <f>'Kustannusarvio|Rakennusselostus'!L68+'Kustannusarvio|Rakennusselostus'!P68</f>
        <v>0</v>
      </c>
      <c r="D77" s="136" t="str" cm="1">
        <f t="array" ref="D77">'Kustannusarvio|Rakennusselostus'!T68:T68</f>
        <v>Ei toimenpiteitä</v>
      </c>
      <c r="E77" s="30"/>
    </row>
    <row r="78" spans="1:5" s="31" customFormat="1" x14ac:dyDescent="0.35">
      <c r="A78" s="19"/>
      <c r="B78" s="319" t="str">
        <f>SUBSTITUTE(IF('Kustannusarvio|Rakennusselostus'!C69="",'Kustannusarvio|Rakennusselostus'!B69,'Kustannusarvio|Rakennusselostus'!C69),":","")</f>
        <v>Muu rakenne</v>
      </c>
      <c r="C78" s="157">
        <f>'Kustannusarvio|Rakennusselostus'!L69+'Kustannusarvio|Rakennusselostus'!P69</f>
        <v>0</v>
      </c>
      <c r="D78" s="136" t="str" cm="1">
        <f t="array" ref="D78">'Kustannusarvio|Rakennusselostus'!T69:T69</f>
        <v>Ei toimenpiteitä</v>
      </c>
      <c r="E78" s="30"/>
    </row>
    <row r="79" spans="1:5" s="31" customFormat="1" x14ac:dyDescent="0.35">
      <c r="A79" s="19"/>
      <c r="B79" s="319" t="str">
        <f>SUBSTITUTE(IF('Kustannusarvio|Rakennusselostus'!C70="",'Kustannusarvio|Rakennusselostus'!B70,'Kustannusarvio|Rakennusselostus'!C70),":","")</f>
        <v>Muu rakenne</v>
      </c>
      <c r="C79" s="157">
        <f>'Kustannusarvio|Rakennusselostus'!L70+'Kustannusarvio|Rakennusselostus'!P70</f>
        <v>0</v>
      </c>
      <c r="D79" s="136" t="str" cm="1">
        <f t="array" ref="D79">'Kustannusarvio|Rakennusselostus'!T70:T70</f>
        <v>Ei toimenpiteitä</v>
      </c>
      <c r="E79" s="30"/>
    </row>
    <row r="80" spans="1:5" s="31" customFormat="1" x14ac:dyDescent="0.35">
      <c r="A80" s="19"/>
      <c r="B80" s="319" t="str">
        <f>SUBSTITUTE(IF('Kustannusarvio|Rakennusselostus'!C71="",'Kustannusarvio|Rakennusselostus'!B71,'Kustannusarvio|Rakennusselostus'!C71),":","")</f>
        <v>Muu rakenne</v>
      </c>
      <c r="C80" s="157">
        <f>'Kustannusarvio|Rakennusselostus'!L71+'Kustannusarvio|Rakennusselostus'!P71</f>
        <v>0</v>
      </c>
      <c r="D80" s="136" t="str" cm="1">
        <f t="array" ref="D80">'Kustannusarvio|Rakennusselostus'!T71:T71</f>
        <v>Ei toimenpiteitä</v>
      </c>
      <c r="E80" s="30"/>
    </row>
    <row r="81" spans="1:5" s="31" customFormat="1" x14ac:dyDescent="0.35">
      <c r="A81" s="19"/>
      <c r="B81" s="319" t="str">
        <f>SUBSTITUTE(IF('Kustannusarvio|Rakennusselostus'!C72="",'Kustannusarvio|Rakennusselostus'!B72,'Kustannusarvio|Rakennusselostus'!C72),":","")</f>
        <v>Muu rakenne</v>
      </c>
      <c r="C81" s="157">
        <f>'Kustannusarvio|Rakennusselostus'!L72+'Kustannusarvio|Rakennusselostus'!P72</f>
        <v>0</v>
      </c>
      <c r="D81" s="136" t="str" cm="1">
        <f t="array" ref="D81">'Kustannusarvio|Rakennusselostus'!T72:T72</f>
        <v>Ei toimenpiteitä</v>
      </c>
      <c r="E81" s="30"/>
    </row>
    <row r="82" spans="1:5" s="31" customFormat="1" x14ac:dyDescent="0.35">
      <c r="A82" s="32" t="s">
        <v>88</v>
      </c>
      <c r="B82" s="301"/>
      <c r="C82" s="284"/>
      <c r="D82" s="283"/>
      <c r="E82" s="30"/>
    </row>
    <row r="83" spans="1:5" s="31" customFormat="1" x14ac:dyDescent="0.35">
      <c r="A83" s="19"/>
      <c r="B83" s="315" t="s">
        <v>89</v>
      </c>
      <c r="C83" s="157">
        <f>'Kustannusarvio|Rakennusselostus'!L74+'Kustannusarvio|Rakennusselostus'!P74</f>
        <v>0</v>
      </c>
      <c r="D83" s="136" t="str" cm="1">
        <f t="array" ref="D83">'Kustannusarvio|Rakennusselostus'!T74:T74</f>
        <v>Ei toimenpiteitä</v>
      </c>
      <c r="E83" s="30"/>
    </row>
    <row r="84" spans="1:5" s="31" customFormat="1" x14ac:dyDescent="0.35">
      <c r="A84" s="19"/>
      <c r="B84" s="315" t="s">
        <v>90</v>
      </c>
      <c r="C84" s="157">
        <f>'Kustannusarvio|Rakennusselostus'!L75+'Kustannusarvio|Rakennusselostus'!P75</f>
        <v>0</v>
      </c>
      <c r="D84" s="136" t="str" cm="1">
        <f t="array" ref="D84">'Kustannusarvio|Rakennusselostus'!T75:T75</f>
        <v>Ei toimenpiteitä</v>
      </c>
      <c r="E84" s="30"/>
    </row>
    <row r="85" spans="1:5" s="31" customFormat="1" x14ac:dyDescent="0.35">
      <c r="A85" s="19"/>
      <c r="B85" s="315" t="s">
        <v>91</v>
      </c>
      <c r="C85" s="157">
        <f>'Kustannusarvio|Rakennusselostus'!L76+'Kustannusarvio|Rakennusselostus'!P76</f>
        <v>0</v>
      </c>
      <c r="D85" s="136" t="str" cm="1">
        <f t="array" ref="D85">'Kustannusarvio|Rakennusselostus'!T76:T76</f>
        <v>Ei toimenpiteitä</v>
      </c>
      <c r="E85" s="30"/>
    </row>
    <row r="86" spans="1:5" s="31" customFormat="1" x14ac:dyDescent="0.35">
      <c r="A86" s="19"/>
      <c r="B86" s="315" t="s">
        <v>92</v>
      </c>
      <c r="C86" s="157">
        <f>'Kustannusarvio|Rakennusselostus'!L77+'Kustannusarvio|Rakennusselostus'!P77</f>
        <v>0</v>
      </c>
      <c r="D86" s="136" t="str" cm="1">
        <f t="array" ref="D86">'Kustannusarvio|Rakennusselostus'!T77:T77</f>
        <v>Ei toimenpiteitä</v>
      </c>
      <c r="E86" s="30"/>
    </row>
    <row r="87" spans="1:5" s="31" customFormat="1" x14ac:dyDescent="0.35">
      <c r="A87" s="19"/>
      <c r="B87" s="319" t="str">
        <f>SUBSTITUTE(IF('Kustannusarvio|Rakennusselostus'!C78="",'Kustannusarvio|Rakennusselostus'!B78,'Kustannusarvio|Rakennusselostus'!C78),":","")</f>
        <v>Muut vesikattorakenteet</v>
      </c>
      <c r="C87" s="157">
        <f>'Kustannusarvio|Rakennusselostus'!L78+'Kustannusarvio|Rakennusselostus'!P78</f>
        <v>0</v>
      </c>
      <c r="D87" s="136" t="str" cm="1">
        <f t="array" ref="D87">'Kustannusarvio|Rakennusselostus'!T78:T78</f>
        <v>Ei toimenpiteitä</v>
      </c>
      <c r="E87" s="30"/>
    </row>
    <row r="88" spans="1:5" s="31" customFormat="1" x14ac:dyDescent="0.35">
      <c r="A88" s="19"/>
      <c r="B88" s="319" t="str">
        <f>SUBSTITUTE(IF('Kustannusarvio|Rakennusselostus'!C79="",'Kustannusarvio|Rakennusselostus'!B79,'Kustannusarvio|Rakennusselostus'!C79),":","")</f>
        <v>Muut vesikattorakenteet</v>
      </c>
      <c r="C88" s="157">
        <f>'Kustannusarvio|Rakennusselostus'!L79+'Kustannusarvio|Rakennusselostus'!P79</f>
        <v>0</v>
      </c>
      <c r="D88" s="136" t="str" cm="1">
        <f t="array" ref="D88">'Kustannusarvio|Rakennusselostus'!T79:T79</f>
        <v>Ei toimenpiteitä</v>
      </c>
      <c r="E88" s="30"/>
    </row>
    <row r="89" spans="1:5" s="31" customFormat="1" x14ac:dyDescent="0.35">
      <c r="A89" s="28" t="s">
        <v>93</v>
      </c>
      <c r="B89" s="29"/>
      <c r="C89" s="282"/>
      <c r="D89" s="281"/>
      <c r="E89" s="30"/>
    </row>
    <row r="90" spans="1:5" x14ac:dyDescent="0.35">
      <c r="A90" s="19"/>
      <c r="B90" s="315" t="s">
        <v>94</v>
      </c>
      <c r="C90" s="157">
        <f>'Kustannusarvio|Rakennusselostus'!L81+'Kustannusarvio|Rakennusselostus'!P81</f>
        <v>0</v>
      </c>
      <c r="D90" s="136" t="str" cm="1">
        <f t="array" ref="D90">'Kustannusarvio|Rakennusselostus'!T81:T81</f>
        <v>Ei toimenpiteitä</v>
      </c>
      <c r="E90" s="30"/>
    </row>
    <row r="91" spans="1:5" s="31" customFormat="1" x14ac:dyDescent="0.35">
      <c r="A91" s="19"/>
      <c r="B91" s="314" t="s">
        <v>43</v>
      </c>
      <c r="C91" s="157">
        <f>'Kustannusarvio|Rakennusselostus'!L82+'Kustannusarvio|Rakennusselostus'!P82</f>
        <v>0</v>
      </c>
      <c r="D91" s="136" t="str" cm="1">
        <f t="array" ref="D91">'Kustannusarvio|Rakennusselostus'!T82:T82</f>
        <v>Ei toimenpiteitä</v>
      </c>
      <c r="E91" s="30"/>
    </row>
    <row r="92" spans="1:5" s="31" customFormat="1" x14ac:dyDescent="0.35">
      <c r="A92" s="19"/>
      <c r="B92" s="314" t="s">
        <v>95</v>
      </c>
      <c r="C92" s="157">
        <f>'Kustannusarvio|Rakennusselostus'!L83+'Kustannusarvio|Rakennusselostus'!P83</f>
        <v>0</v>
      </c>
      <c r="D92" s="136" t="str" cm="1">
        <f t="array" ref="D92">'Kustannusarvio|Rakennusselostus'!T83:T83</f>
        <v>Ei toimenpiteitä</v>
      </c>
      <c r="E92" s="30"/>
    </row>
    <row r="93" spans="1:5" x14ac:dyDescent="0.35">
      <c r="A93" s="19"/>
      <c r="B93" s="314" t="s">
        <v>96</v>
      </c>
      <c r="C93" s="157">
        <f>'Kustannusarvio|Rakennusselostus'!L84+'Kustannusarvio|Rakennusselostus'!P84</f>
        <v>0</v>
      </c>
      <c r="D93" s="136" t="str" cm="1">
        <f t="array" ref="D93">'Kustannusarvio|Rakennusselostus'!T84:T84</f>
        <v>Ei toimenpiteitä</v>
      </c>
      <c r="E93" s="30"/>
    </row>
    <row r="94" spans="1:5" s="31" customFormat="1" x14ac:dyDescent="0.35">
      <c r="A94" s="19"/>
      <c r="B94" s="314" t="s">
        <v>140</v>
      </c>
      <c r="C94" s="157">
        <f>'Kustannusarvio|Rakennusselostus'!L85+'Kustannusarvio|Rakennusselostus'!P85</f>
        <v>0</v>
      </c>
      <c r="D94" s="136" t="str" cm="1">
        <f t="array" ref="D94">'Kustannusarvio|Rakennusselostus'!T85:T85</f>
        <v>Ei toimenpiteitä</v>
      </c>
      <c r="E94" s="30"/>
    </row>
    <row r="95" spans="1:5" x14ac:dyDescent="0.35">
      <c r="A95" s="19"/>
      <c r="B95" s="321" t="str">
        <f>SUBSTITUTE(IF('Kustannusarvio|Rakennusselostus'!C86="",'Kustannusarvio|Rakennusselostus'!B86,'Kustannusarvio|Rakennusselostus'!C86),":","")</f>
        <v>Muu rakennusosa</v>
      </c>
      <c r="C95" s="157">
        <f>'Kustannusarvio|Rakennusselostus'!L86+'Kustannusarvio|Rakennusselostus'!P86</f>
        <v>0</v>
      </c>
      <c r="D95" s="136" t="str" cm="1">
        <f t="array" ref="D95">'Kustannusarvio|Rakennusselostus'!T86:T86</f>
        <v>Ei toimenpiteitä</v>
      </c>
      <c r="E95" s="30"/>
    </row>
    <row r="96" spans="1:5" x14ac:dyDescent="0.35">
      <c r="A96" s="19"/>
      <c r="B96" s="321" t="str">
        <f>SUBSTITUTE(IF('Kustannusarvio|Rakennusselostus'!C87="",'Kustannusarvio|Rakennusselostus'!B87,'Kustannusarvio|Rakennusselostus'!C87),":","")</f>
        <v>Muu rakennusosa</v>
      </c>
      <c r="C96" s="157">
        <f>'Kustannusarvio|Rakennusselostus'!L87+'Kustannusarvio|Rakennusselostus'!P87</f>
        <v>0</v>
      </c>
      <c r="D96" s="136" t="str" cm="1">
        <f t="array" ref="D96">'Kustannusarvio|Rakennusselostus'!T87:T87</f>
        <v>Ei toimenpiteitä</v>
      </c>
      <c r="E96" s="30"/>
    </row>
    <row r="97" spans="1:5" s="31" customFormat="1" x14ac:dyDescent="0.35">
      <c r="A97" s="28" t="s">
        <v>97</v>
      </c>
      <c r="B97" s="29"/>
      <c r="C97" s="282"/>
      <c r="D97" s="281"/>
      <c r="E97" s="30"/>
    </row>
    <row r="98" spans="1:5" x14ac:dyDescent="0.35">
      <c r="A98" s="19"/>
      <c r="B98" s="315" t="s">
        <v>100</v>
      </c>
      <c r="C98" s="157">
        <f>'Kustannusarvio|Rakennusselostus'!L89+'Kustannusarvio|Rakennusselostus'!P89</f>
        <v>0</v>
      </c>
      <c r="D98" s="136" t="str" cm="1">
        <f t="array" ref="D98">'Kustannusarvio|Rakennusselostus'!T89:T89</f>
        <v>Ei toimenpiteitä</v>
      </c>
      <c r="E98" s="30"/>
    </row>
    <row r="99" spans="1:5" s="31" customFormat="1" x14ac:dyDescent="0.35">
      <c r="A99" s="19"/>
      <c r="B99" s="315" t="s">
        <v>99</v>
      </c>
      <c r="C99" s="157">
        <f>'Kustannusarvio|Rakennusselostus'!L90+'Kustannusarvio|Rakennusselostus'!P90</f>
        <v>0</v>
      </c>
      <c r="D99" s="136" t="str" cm="1">
        <f t="array" ref="D99">'Kustannusarvio|Rakennusselostus'!T90:T90</f>
        <v>Ei toimenpiteitä</v>
      </c>
      <c r="E99" s="30"/>
    </row>
    <row r="100" spans="1:5" x14ac:dyDescent="0.35">
      <c r="A100" s="19"/>
      <c r="B100" s="315" t="s">
        <v>101</v>
      </c>
      <c r="C100" s="157">
        <f>'Kustannusarvio|Rakennusselostus'!L91+'Kustannusarvio|Rakennusselostus'!P91</f>
        <v>0</v>
      </c>
      <c r="D100" s="136" t="str" cm="1">
        <f t="array" ref="D100">'Kustannusarvio|Rakennusselostus'!T91:T91</f>
        <v>Ei toimenpiteitä</v>
      </c>
      <c r="E100" s="30"/>
    </row>
    <row r="101" spans="1:5" x14ac:dyDescent="0.35">
      <c r="A101" s="19"/>
      <c r="B101" s="315" t="s">
        <v>141</v>
      </c>
      <c r="C101" s="157">
        <f>'Kustannusarvio|Rakennusselostus'!L92+'Kustannusarvio|Rakennusselostus'!P92</f>
        <v>0</v>
      </c>
      <c r="D101" s="136" t="str" cm="1">
        <f t="array" ref="D101">'Kustannusarvio|Rakennusselostus'!T92:T92</f>
        <v>Ei toimenpiteitä</v>
      </c>
      <c r="E101" s="30"/>
    </row>
    <row r="102" spans="1:5" x14ac:dyDescent="0.35">
      <c r="A102" s="19"/>
      <c r="B102" s="315" t="s">
        <v>102</v>
      </c>
      <c r="C102" s="157">
        <f>'Kustannusarvio|Rakennusselostus'!L93+'Kustannusarvio|Rakennusselostus'!P93</f>
        <v>0</v>
      </c>
      <c r="D102" s="136" t="str" cm="1">
        <f t="array" ref="D102">'Kustannusarvio|Rakennusselostus'!T93:T93</f>
        <v>Ei toimenpiteitä</v>
      </c>
      <c r="E102" s="30"/>
    </row>
    <row r="103" spans="1:5" x14ac:dyDescent="0.35">
      <c r="A103" s="19"/>
      <c r="B103" s="315" t="s">
        <v>142</v>
      </c>
      <c r="C103" s="157">
        <f>'Kustannusarvio|Rakennusselostus'!L94+'Kustannusarvio|Rakennusselostus'!P94</f>
        <v>0</v>
      </c>
      <c r="D103" s="136" t="str" cm="1">
        <f t="array" ref="D103">'Kustannusarvio|Rakennusselostus'!T94:T94</f>
        <v>Ei toimenpiteitä</v>
      </c>
      <c r="E103" s="30"/>
    </row>
    <row r="104" spans="1:5" x14ac:dyDescent="0.35">
      <c r="A104" s="19"/>
      <c r="B104" s="319" t="str">
        <f>SUBSTITUTE(IF('Kustannusarvio|Rakennusselostus'!C95="",'Kustannusarvio|Rakennusselostus'!B95,'Kustannusarvio|Rakennusselostus'!C95),":","")</f>
        <v>Muut tilapinnat</v>
      </c>
      <c r="C104" s="157">
        <f>'Kustannusarvio|Rakennusselostus'!L95+'Kustannusarvio|Rakennusselostus'!P95</f>
        <v>0</v>
      </c>
      <c r="D104" s="136" t="str" cm="1">
        <f t="array" ref="D104">'Kustannusarvio|Rakennusselostus'!T95:T95</f>
        <v>Ei toimenpiteitä</v>
      </c>
      <c r="E104" s="30"/>
    </row>
    <row r="105" spans="1:5" x14ac:dyDescent="0.35">
      <c r="A105" s="28" t="s">
        <v>103</v>
      </c>
      <c r="B105" s="29"/>
      <c r="C105" s="282"/>
      <c r="D105" s="281"/>
      <c r="E105" s="30"/>
    </row>
    <row r="106" spans="1:5" x14ac:dyDescent="0.35">
      <c r="A106" s="19"/>
      <c r="B106" s="315" t="s">
        <v>104</v>
      </c>
      <c r="C106" s="157">
        <f>'Kustannusarvio|Rakennusselostus'!L97+'Kustannusarvio|Rakennusselostus'!P97</f>
        <v>0</v>
      </c>
      <c r="D106" s="136" t="str" cm="1">
        <f t="array" ref="D106">'Kustannusarvio|Rakennusselostus'!T97:T97</f>
        <v>Ei toimenpiteitä</v>
      </c>
      <c r="E106" s="30"/>
    </row>
    <row r="107" spans="1:5" x14ac:dyDescent="0.35">
      <c r="A107" s="19"/>
      <c r="B107" s="315" t="s">
        <v>105</v>
      </c>
      <c r="C107" s="157">
        <f>'Kustannusarvio|Rakennusselostus'!L98+'Kustannusarvio|Rakennusselostus'!P98</f>
        <v>0</v>
      </c>
      <c r="D107" s="136" t="str" cm="1">
        <f t="array" ref="D107">'Kustannusarvio|Rakennusselostus'!T98:T98</f>
        <v>Ei toimenpiteitä</v>
      </c>
      <c r="E107" s="30"/>
    </row>
    <row r="108" spans="1:5" x14ac:dyDescent="0.35">
      <c r="A108" s="19"/>
      <c r="B108" s="315" t="s">
        <v>106</v>
      </c>
      <c r="C108" s="157">
        <f>'Kustannusarvio|Rakennusselostus'!L99+'Kustannusarvio|Rakennusselostus'!P99</f>
        <v>0</v>
      </c>
      <c r="D108" s="136" t="str" cm="1">
        <f t="array" ref="D108">'Kustannusarvio|Rakennusselostus'!T99:T99</f>
        <v>Ei toimenpiteitä</v>
      </c>
      <c r="E108" s="30"/>
    </row>
    <row r="109" spans="1:5" x14ac:dyDescent="0.35">
      <c r="A109" s="19"/>
      <c r="B109" s="315" t="s">
        <v>108</v>
      </c>
      <c r="C109" s="157">
        <f>'Kustannusarvio|Rakennusselostus'!L100+'Kustannusarvio|Rakennusselostus'!P100</f>
        <v>0</v>
      </c>
      <c r="D109" s="136" t="str" cm="1">
        <f t="array" ref="D109">'Kustannusarvio|Rakennusselostus'!T100:T100</f>
        <v>Ei toimenpiteitä</v>
      </c>
      <c r="E109" s="30"/>
    </row>
    <row r="110" spans="1:5" x14ac:dyDescent="0.35">
      <c r="A110" s="19"/>
      <c r="B110" s="315" t="s">
        <v>107</v>
      </c>
      <c r="C110" s="157">
        <f>'Kustannusarvio|Rakennusselostus'!L101+'Kustannusarvio|Rakennusselostus'!P101</f>
        <v>0</v>
      </c>
      <c r="D110" s="136" t="str" cm="1">
        <f t="array" ref="D110">'Kustannusarvio|Rakennusselostus'!T101:T101</f>
        <v>Ei toimenpiteitä</v>
      </c>
      <c r="E110" s="30"/>
    </row>
    <row r="111" spans="1:5" s="31" customFormat="1" x14ac:dyDescent="0.35">
      <c r="A111" s="19"/>
      <c r="B111" s="315" t="s">
        <v>143</v>
      </c>
      <c r="C111" s="157">
        <f>'Kustannusarvio|Rakennusselostus'!L102+'Kustannusarvio|Rakennusselostus'!P102</f>
        <v>0</v>
      </c>
      <c r="D111" s="136" t="str" cm="1">
        <f t="array" ref="D111">'Kustannusarvio|Rakennusselostus'!T102:T102</f>
        <v>Ei toimenpiteitä</v>
      </c>
      <c r="E111" s="30"/>
    </row>
    <row r="112" spans="1:5" x14ac:dyDescent="0.35">
      <c r="A112" s="19"/>
      <c r="B112" s="315" t="s">
        <v>109</v>
      </c>
      <c r="C112" s="157">
        <f>'Kustannusarvio|Rakennusselostus'!L103+'Kustannusarvio|Rakennusselostus'!P103</f>
        <v>0</v>
      </c>
      <c r="D112" s="136" t="str" cm="1">
        <f t="array" ref="D112">'Kustannusarvio|Rakennusselostus'!T103:T103</f>
        <v>Ei toimenpiteitä</v>
      </c>
      <c r="E112" s="30"/>
    </row>
    <row r="113" spans="1:5" x14ac:dyDescent="0.35">
      <c r="A113" s="19"/>
      <c r="B113" s="315" t="s">
        <v>110</v>
      </c>
      <c r="C113" s="157">
        <f>'Kustannusarvio|Rakennusselostus'!L104+'Kustannusarvio|Rakennusselostus'!P104</f>
        <v>0</v>
      </c>
      <c r="D113" s="136" t="str" cm="1">
        <f t="array" ref="D113">'Kustannusarvio|Rakennusselostus'!T104:T104</f>
        <v>Ei toimenpiteitä</v>
      </c>
      <c r="E113" s="30"/>
    </row>
    <row r="114" spans="1:5" x14ac:dyDescent="0.35">
      <c r="A114" s="19"/>
      <c r="B114" s="319" t="str">
        <f>SUBSTITUTE(IF('Kustannusarvio|Rakennusselostus'!C105="",'Kustannusarvio|Rakennusselostus'!B105,'Kustannusarvio|Rakennusselostus'!C105),":","")</f>
        <v>Muu laite</v>
      </c>
      <c r="C114" s="157">
        <f>'Kustannusarvio|Rakennusselostus'!L105+'Kustannusarvio|Rakennusselostus'!P105</f>
        <v>0</v>
      </c>
      <c r="D114" s="136" t="str" cm="1">
        <f t="array" ref="D114">'Kustannusarvio|Rakennusselostus'!T105:T105</f>
        <v>Ei toimenpiteitä</v>
      </c>
      <c r="E114" s="30"/>
    </row>
    <row r="115" spans="1:5" x14ac:dyDescent="0.35">
      <c r="A115" s="19"/>
      <c r="B115" s="319" t="str">
        <f>SUBSTITUTE(IF('Kustannusarvio|Rakennusselostus'!C106="",'Kustannusarvio|Rakennusselostus'!B106,'Kustannusarvio|Rakennusselostus'!C106),":","")</f>
        <v>Muu laite</v>
      </c>
      <c r="C115" s="157">
        <f>'Kustannusarvio|Rakennusselostus'!L106+'Kustannusarvio|Rakennusselostus'!P106</f>
        <v>0</v>
      </c>
      <c r="D115" s="136" t="str" cm="1">
        <f t="array" ref="D115">'Kustannusarvio|Rakennusselostus'!T106:T106</f>
        <v>Ei toimenpiteitä</v>
      </c>
      <c r="E115" s="30"/>
    </row>
    <row r="116" spans="1:5" x14ac:dyDescent="0.35">
      <c r="A116" s="19"/>
      <c r="B116" s="319" t="str">
        <f>SUBSTITUTE(IF('Kustannusarvio|Rakennusselostus'!C107="",'Kustannusarvio|Rakennusselostus'!B107,'Kustannusarvio|Rakennusselostus'!C107),":","")</f>
        <v>Muu laite</v>
      </c>
      <c r="C116" s="157">
        <f>'Kustannusarvio|Rakennusselostus'!L107+'Kustannusarvio|Rakennusselostus'!P107</f>
        <v>0</v>
      </c>
      <c r="D116" s="136" t="str" cm="1">
        <f t="array" ref="D116">'Kustannusarvio|Rakennusselostus'!T107:T107</f>
        <v>Ei toimenpiteitä</v>
      </c>
      <c r="E116" s="30"/>
    </row>
    <row r="117" spans="1:5" x14ac:dyDescent="0.35">
      <c r="A117" s="28" t="s">
        <v>111</v>
      </c>
      <c r="B117" s="29"/>
      <c r="C117" s="282"/>
      <c r="D117" s="281"/>
      <c r="E117" s="30"/>
    </row>
    <row r="118" spans="1:5" x14ac:dyDescent="0.35">
      <c r="A118" s="19"/>
      <c r="B118" s="315" t="s">
        <v>21</v>
      </c>
      <c r="C118" s="157">
        <f>'Kustannusarvio|Rakennusselostus'!L109+'Kustannusarvio|Rakennusselostus'!P109</f>
        <v>0</v>
      </c>
      <c r="D118" s="136" t="str" cm="1">
        <f t="array" ref="D118">'Kustannusarvio|Rakennusselostus'!T109:T109</f>
        <v>Ei toimenpiteitä</v>
      </c>
      <c r="E118" s="30"/>
    </row>
    <row r="119" spans="1:5" s="31" customFormat="1" x14ac:dyDescent="0.35">
      <c r="A119" s="19"/>
      <c r="B119" s="315" t="s">
        <v>113</v>
      </c>
      <c r="C119" s="157">
        <f>'Kustannusarvio|Rakennusselostus'!L110+'Kustannusarvio|Rakennusselostus'!P110</f>
        <v>0</v>
      </c>
      <c r="D119" s="136" t="str" cm="1">
        <f t="array" ref="D119">'Kustannusarvio|Rakennusselostus'!T110:T110</f>
        <v>Ei toimenpiteitä</v>
      </c>
      <c r="E119" s="30"/>
    </row>
    <row r="120" spans="1:5" x14ac:dyDescent="0.35">
      <c r="A120" s="19"/>
      <c r="B120" s="315" t="s">
        <v>114</v>
      </c>
      <c r="C120" s="157">
        <f>'Kustannusarvio|Rakennusselostus'!L111+'Kustannusarvio|Rakennusselostus'!P111</f>
        <v>0</v>
      </c>
      <c r="D120" s="136" t="str" cm="1">
        <f t="array" ref="D120">'Kustannusarvio|Rakennusselostus'!T111:T111</f>
        <v>Ei toimenpiteitä</v>
      </c>
      <c r="E120" s="30"/>
    </row>
    <row r="121" spans="1:5" x14ac:dyDescent="0.35">
      <c r="A121" s="19"/>
      <c r="B121" s="315" t="s">
        <v>112</v>
      </c>
      <c r="C121" s="157">
        <f>'Kustannusarvio|Rakennusselostus'!L112+'Kustannusarvio|Rakennusselostus'!P112</f>
        <v>0</v>
      </c>
      <c r="D121" s="136" t="str" cm="1">
        <f t="array" ref="D121">'Kustannusarvio|Rakennusselostus'!T112:T112</f>
        <v>Ei toimenpiteitä</v>
      </c>
      <c r="E121" s="30"/>
    </row>
    <row r="122" spans="1:5" x14ac:dyDescent="0.35">
      <c r="A122" s="19"/>
      <c r="B122" s="319" t="str">
        <f>SUBSTITUTE(IF('Kustannusarvio|Rakennusselostus'!C113="",'Kustannusarvio|Rakennusselostus'!B113,'Kustannusarvio|Rakennusselostus'!C113),":","")</f>
        <v>Muut tilaelementit</v>
      </c>
      <c r="C122" s="157">
        <f>'Kustannusarvio|Rakennusselostus'!L113+'Kustannusarvio|Rakennusselostus'!P113</f>
        <v>0</v>
      </c>
      <c r="D122" s="136" t="str" cm="1">
        <f t="array" ref="D122">'Kustannusarvio|Rakennusselostus'!T113:T113</f>
        <v>Ei toimenpiteitä</v>
      </c>
      <c r="E122" s="30"/>
    </row>
    <row r="123" spans="1:5" x14ac:dyDescent="0.35">
      <c r="A123" s="19"/>
      <c r="B123" s="319" t="str">
        <f>SUBSTITUTE(IF('Kustannusarvio|Rakennusselostus'!C114="",'Kustannusarvio|Rakennusselostus'!B114,'Kustannusarvio|Rakennusselostus'!C114),":","")</f>
        <v>Muut tilaelementit</v>
      </c>
      <c r="C123" s="157">
        <f>'Kustannusarvio|Rakennusselostus'!L114+'Kustannusarvio|Rakennusselostus'!P114</f>
        <v>0</v>
      </c>
      <c r="D123" s="136" t="str" cm="1">
        <f t="array" ref="D123">'Kustannusarvio|Rakennusselostus'!T114:T114</f>
        <v>Ei toimenpiteitä</v>
      </c>
      <c r="E123" s="30"/>
    </row>
    <row r="124" spans="1:5" x14ac:dyDescent="0.35">
      <c r="A124" s="19"/>
      <c r="B124" s="319" t="str">
        <f>SUBSTITUTE(IF('Kustannusarvio|Rakennusselostus'!C115="",'Kustannusarvio|Rakennusselostus'!B115,'Kustannusarvio|Rakennusselostus'!C115),":","")</f>
        <v>Muut tilaelementit</v>
      </c>
      <c r="C124" s="157">
        <f>'Kustannusarvio|Rakennusselostus'!L115+'Kustannusarvio|Rakennusselostus'!P115</f>
        <v>0</v>
      </c>
      <c r="D124" s="136" t="str" cm="1">
        <f t="array" ref="D124">'Kustannusarvio|Rakennusselostus'!T115:T115</f>
        <v>Ei toimenpiteitä</v>
      </c>
      <c r="E124" s="30"/>
    </row>
    <row r="125" spans="1:5" x14ac:dyDescent="0.35">
      <c r="A125" s="28" t="s">
        <v>115</v>
      </c>
      <c r="B125" s="29"/>
      <c r="C125" s="282"/>
      <c r="D125" s="281"/>
      <c r="E125" s="30"/>
    </row>
    <row r="126" spans="1:5" x14ac:dyDescent="0.35">
      <c r="A126" s="32" t="s">
        <v>144</v>
      </c>
      <c r="B126" s="301"/>
      <c r="C126" s="284"/>
      <c r="D126" s="283"/>
      <c r="E126" s="30"/>
    </row>
    <row r="127" spans="1:5" x14ac:dyDescent="0.35">
      <c r="A127" s="19"/>
      <c r="B127" s="315" t="s">
        <v>124</v>
      </c>
      <c r="C127" s="157">
        <f>'Kustannusarvio|Rakennusselostus'!L118+'Kustannusarvio|Rakennusselostus'!P118</f>
        <v>0</v>
      </c>
      <c r="D127" s="136" t="str" cm="1">
        <f t="array" ref="D127">'Kustannusarvio|Rakennusselostus'!T118:T118</f>
        <v>Ei toimenpiteitä</v>
      </c>
      <c r="E127" s="30"/>
    </row>
    <row r="128" spans="1:5" x14ac:dyDescent="0.35">
      <c r="A128" s="19"/>
      <c r="B128" s="315" t="s">
        <v>120</v>
      </c>
      <c r="C128" s="157">
        <f>'Kustannusarvio|Rakennusselostus'!L119+'Kustannusarvio|Rakennusselostus'!P119</f>
        <v>0</v>
      </c>
      <c r="D128" s="136" t="str" cm="1">
        <f t="array" ref="D128">'Kustannusarvio|Rakennusselostus'!T119:T119</f>
        <v>Ei toimenpiteitä</v>
      </c>
      <c r="E128" s="30"/>
    </row>
    <row r="129" spans="1:5" x14ac:dyDescent="0.35">
      <c r="A129" s="19"/>
      <c r="B129" s="315" t="s">
        <v>8</v>
      </c>
      <c r="C129" s="157">
        <f>'Kustannusarvio|Rakennusselostus'!L120+'Kustannusarvio|Rakennusselostus'!P120</f>
        <v>0</v>
      </c>
      <c r="D129" s="136" t="str" cm="1">
        <f t="array" ref="D129">'Kustannusarvio|Rakennusselostus'!T120:T120</f>
        <v>Ei toimenpiteitä</v>
      </c>
      <c r="E129" s="30"/>
    </row>
    <row r="130" spans="1:5" x14ac:dyDescent="0.35">
      <c r="A130" s="19"/>
      <c r="B130" s="315" t="s">
        <v>121</v>
      </c>
      <c r="C130" s="157">
        <f>'Kustannusarvio|Rakennusselostus'!L121+'Kustannusarvio|Rakennusselostus'!P121</f>
        <v>0</v>
      </c>
      <c r="D130" s="136" t="str" cm="1">
        <f t="array" ref="D130">'Kustannusarvio|Rakennusselostus'!T121:T121</f>
        <v>Ei toimenpiteitä</v>
      </c>
      <c r="E130" s="30"/>
    </row>
    <row r="131" spans="1:5" x14ac:dyDescent="0.35">
      <c r="A131" s="19"/>
      <c r="B131" s="315" t="s">
        <v>125</v>
      </c>
      <c r="C131" s="157">
        <f>'Kustannusarvio|Rakennusselostus'!L122+'Kustannusarvio|Rakennusselostus'!P122</f>
        <v>0</v>
      </c>
      <c r="D131" s="136" t="str" cm="1">
        <f t="array" ref="D131">'Kustannusarvio|Rakennusselostus'!T122:T122</f>
        <v>Ei toimenpiteitä</v>
      </c>
      <c r="E131" s="30"/>
    </row>
    <row r="132" spans="1:5" x14ac:dyDescent="0.35">
      <c r="A132" s="19"/>
      <c r="B132" s="315" t="s">
        <v>122</v>
      </c>
      <c r="C132" s="157">
        <f>'Kustannusarvio|Rakennusselostus'!L123+'Kustannusarvio|Rakennusselostus'!P123</f>
        <v>0</v>
      </c>
      <c r="D132" s="136" t="str" cm="1">
        <f t="array" ref="D132">'Kustannusarvio|Rakennusselostus'!T123:T123</f>
        <v>Ei toimenpiteitä</v>
      </c>
      <c r="E132" s="30"/>
    </row>
    <row r="133" spans="1:5" x14ac:dyDescent="0.35">
      <c r="A133" s="19"/>
      <c r="B133" s="315" t="s">
        <v>123</v>
      </c>
      <c r="C133" s="157">
        <f>'Kustannusarvio|Rakennusselostus'!L124+'Kustannusarvio|Rakennusselostus'!P124</f>
        <v>0</v>
      </c>
      <c r="D133" s="136" t="str" cm="1">
        <f t="array" ref="D133">'Kustannusarvio|Rakennusselostus'!T124:T124</f>
        <v>Ei toimenpiteitä</v>
      </c>
      <c r="E133" s="30"/>
    </row>
    <row r="134" spans="1:5" x14ac:dyDescent="0.35">
      <c r="A134" s="19"/>
      <c r="B134" s="318" t="s">
        <v>128</v>
      </c>
      <c r="C134" s="157">
        <f>'Kustannusarvio|Rakennusselostus'!L125+'Kustannusarvio|Rakennusselostus'!P125</f>
        <v>0</v>
      </c>
      <c r="D134" s="136" t="str" cm="1">
        <f t="array" ref="D134">'Kustannusarvio|Rakennusselostus'!T125:T125</f>
        <v>Ei toimenpiteitä</v>
      </c>
      <c r="E134" s="30"/>
    </row>
    <row r="135" spans="1:5" x14ac:dyDescent="0.35">
      <c r="A135" s="19"/>
      <c r="B135" s="315" t="s">
        <v>126</v>
      </c>
      <c r="C135" s="157">
        <f>'Kustannusarvio|Rakennusselostus'!L126+'Kustannusarvio|Rakennusselostus'!P126</f>
        <v>0</v>
      </c>
      <c r="D135" s="136" t="str" cm="1">
        <f t="array" ref="D135">'Kustannusarvio|Rakennusselostus'!T126:T126</f>
        <v>Ei toimenpiteitä</v>
      </c>
      <c r="E135" s="30"/>
    </row>
    <row r="136" spans="1:5" x14ac:dyDescent="0.35">
      <c r="A136" s="19"/>
      <c r="B136" s="315" t="s">
        <v>127</v>
      </c>
      <c r="C136" s="157">
        <f>'Kustannusarvio|Rakennusselostus'!L127+'Kustannusarvio|Rakennusselostus'!P127</f>
        <v>0</v>
      </c>
      <c r="D136" s="136" t="str" cm="1">
        <f t="array" ref="D136">'Kustannusarvio|Rakennusselostus'!T127:T127</f>
        <v>Ei toimenpiteitä</v>
      </c>
      <c r="E136" s="30"/>
    </row>
    <row r="137" spans="1:5" x14ac:dyDescent="0.35">
      <c r="A137" s="19"/>
      <c r="B137" s="315" t="s">
        <v>191</v>
      </c>
      <c r="C137" s="157">
        <f>'Kustannusarvio|Rakennusselostus'!L128+'Kustannusarvio|Rakennusselostus'!P128</f>
        <v>0</v>
      </c>
      <c r="D137" s="136" t="str" cm="1">
        <f t="array" ref="D137">'Kustannusarvio|Rakennusselostus'!T128:T128</f>
        <v>Ei toimenpiteitä</v>
      </c>
      <c r="E137" s="30"/>
    </row>
    <row r="138" spans="1:5" s="31" customFormat="1" x14ac:dyDescent="0.35">
      <c r="A138" s="19"/>
      <c r="B138" s="315" t="s">
        <v>129</v>
      </c>
      <c r="C138" s="157">
        <f>'Kustannusarvio|Rakennusselostus'!L129+'Kustannusarvio|Rakennusselostus'!P129</f>
        <v>0</v>
      </c>
      <c r="D138" s="136" t="str" cm="1">
        <f t="array" ref="D138">'Kustannusarvio|Rakennusselostus'!T129:T129</f>
        <v>Ei toimenpiteitä</v>
      </c>
      <c r="E138" s="30"/>
    </row>
    <row r="139" spans="1:5" x14ac:dyDescent="0.35">
      <c r="A139" s="19"/>
      <c r="B139" s="318" t="s">
        <v>132</v>
      </c>
      <c r="C139" s="157">
        <f>'Kustannusarvio|Rakennusselostus'!L130+'Kustannusarvio|Rakennusselostus'!P130</f>
        <v>0</v>
      </c>
      <c r="D139" s="136" t="str" cm="1">
        <f t="array" ref="D139">'Kustannusarvio|Rakennusselostus'!T130:T130</f>
        <v>Ei toimenpiteitä</v>
      </c>
      <c r="E139" s="30"/>
    </row>
    <row r="140" spans="1:5" x14ac:dyDescent="0.35">
      <c r="A140" s="19"/>
      <c r="B140" s="318" t="s">
        <v>133</v>
      </c>
      <c r="C140" s="157">
        <f>'Kustannusarvio|Rakennusselostus'!L131+'Kustannusarvio|Rakennusselostus'!P131</f>
        <v>0</v>
      </c>
      <c r="D140" s="136" t="str" cm="1">
        <f t="array" ref="D140">'Kustannusarvio|Rakennusselostus'!T131:T131</f>
        <v>Ei toimenpiteitä</v>
      </c>
      <c r="E140" s="30"/>
    </row>
    <row r="141" spans="1:5" x14ac:dyDescent="0.35">
      <c r="A141" s="19"/>
      <c r="B141" s="318" t="s">
        <v>145</v>
      </c>
      <c r="C141" s="157">
        <f>'Kustannusarvio|Rakennusselostus'!L132+'Kustannusarvio|Rakennusselostus'!P132</f>
        <v>0</v>
      </c>
      <c r="D141" s="136" t="str" cm="1">
        <f t="array" ref="D141">'Kustannusarvio|Rakennusselostus'!T132:T132</f>
        <v>Ei toimenpiteitä</v>
      </c>
      <c r="E141" s="30"/>
    </row>
    <row r="142" spans="1:5" x14ac:dyDescent="0.35">
      <c r="A142" s="19"/>
      <c r="B142" s="318" t="s">
        <v>134</v>
      </c>
      <c r="C142" s="157">
        <f>'Kustannusarvio|Rakennusselostus'!L133+'Kustannusarvio|Rakennusselostus'!P133</f>
        <v>0</v>
      </c>
      <c r="D142" s="136" t="str" cm="1">
        <f t="array" ref="D142">'Kustannusarvio|Rakennusselostus'!T133:T133</f>
        <v>Ei toimenpiteitä</v>
      </c>
      <c r="E142" s="30"/>
    </row>
    <row r="143" spans="1:5" x14ac:dyDescent="0.35">
      <c r="A143" s="19"/>
      <c r="B143" s="316" t="str">
        <f>SUBSTITUTE(IF('Kustannusarvio|Rakennusselostus'!C134="",'Kustannusarvio|Rakennusselostus'!B134,'Kustannusarvio|Rakennusselostus'!C134),":","")</f>
        <v>Muu järjestelmä</v>
      </c>
      <c r="C143" s="157">
        <f>'Kustannusarvio|Rakennusselostus'!L134+'Kustannusarvio|Rakennusselostus'!P134</f>
        <v>0</v>
      </c>
      <c r="D143" s="136" t="str" cm="1">
        <f t="array" ref="D143">'Kustannusarvio|Rakennusselostus'!T134:T134</f>
        <v>Ei toimenpiteitä</v>
      </c>
      <c r="E143" s="30"/>
    </row>
    <row r="144" spans="1:5" x14ac:dyDescent="0.35">
      <c r="A144" s="28" t="s">
        <v>131</v>
      </c>
      <c r="B144" s="29"/>
      <c r="C144" s="282"/>
      <c r="D144" s="281"/>
      <c r="E144" s="30"/>
    </row>
    <row r="145" spans="1:5" x14ac:dyDescent="0.35">
      <c r="A145" s="19"/>
      <c r="B145" s="315" t="s">
        <v>9</v>
      </c>
      <c r="C145" s="157">
        <f>'Kustannusarvio|Rakennusselostus'!L136+'Kustannusarvio|Rakennusselostus'!P136</f>
        <v>0</v>
      </c>
      <c r="D145" s="136" t="str" cm="1">
        <f t="array" ref="D145">'Kustannusarvio|Rakennusselostus'!T136:T136</f>
        <v>Ei toimenpiteitä</v>
      </c>
      <c r="E145" s="30"/>
    </row>
    <row r="146" spans="1:5" x14ac:dyDescent="0.35">
      <c r="A146" s="19"/>
      <c r="B146" s="315" t="s">
        <v>10</v>
      </c>
      <c r="C146" s="157">
        <f>'Kustannusarvio|Rakennusselostus'!L137+'Kustannusarvio|Rakennusselostus'!P137</f>
        <v>0</v>
      </c>
      <c r="D146" s="136" t="str" cm="1">
        <f t="array" ref="D146">'Kustannusarvio|Rakennusselostus'!T137:T137</f>
        <v>Ei toimenpiteitä</v>
      </c>
      <c r="E146" s="30"/>
    </row>
    <row r="147" spans="1:5" x14ac:dyDescent="0.35">
      <c r="A147" s="19"/>
      <c r="B147" s="315" t="s">
        <v>41</v>
      </c>
      <c r="C147" s="157">
        <f>'Kustannusarvio|Rakennusselostus'!L138+'Kustannusarvio|Rakennusselostus'!P138</f>
        <v>0</v>
      </c>
      <c r="D147" s="136" t="str" cm="1">
        <f t="array" ref="D147">'Kustannusarvio|Rakennusselostus'!T138:T138</f>
        <v>Ei toimenpiteitä</v>
      </c>
      <c r="E147" s="30"/>
    </row>
    <row r="148" spans="1:5" x14ac:dyDescent="0.35">
      <c r="A148" s="19"/>
      <c r="B148" s="315" t="s">
        <v>42</v>
      </c>
      <c r="C148" s="157">
        <f>'Kustannusarvio|Rakennusselostus'!L139+'Kustannusarvio|Rakennusselostus'!P139</f>
        <v>0</v>
      </c>
      <c r="D148" s="136" t="str" cm="1">
        <f t="array" ref="D148">'Kustannusarvio|Rakennusselostus'!T139:T139</f>
        <v>Ei toimenpiteitä</v>
      </c>
      <c r="E148" s="30"/>
    </row>
    <row r="149" spans="1:5" x14ac:dyDescent="0.35">
      <c r="A149" s="19"/>
      <c r="B149" s="315" t="s">
        <v>146</v>
      </c>
      <c r="C149" s="157">
        <f>'Kustannusarvio|Rakennusselostus'!L140+'Kustannusarvio|Rakennusselostus'!P140</f>
        <v>0</v>
      </c>
      <c r="D149" s="136" t="str" cm="1">
        <f t="array" ref="D149">'Kustannusarvio|Rakennusselostus'!T140:T140</f>
        <v>Ei toimenpiteitä</v>
      </c>
      <c r="E149" s="30"/>
    </row>
    <row r="150" spans="1:5" x14ac:dyDescent="0.35">
      <c r="A150" s="19"/>
      <c r="B150" s="315" t="s">
        <v>29</v>
      </c>
      <c r="C150" s="157">
        <f>'Kustannusarvio|Rakennusselostus'!L141+'Kustannusarvio|Rakennusselostus'!P141</f>
        <v>0</v>
      </c>
      <c r="D150" s="136" t="str" cm="1">
        <f t="array" ref="D150">'Kustannusarvio|Rakennusselostus'!T141:T141</f>
        <v>Ei toimenpiteitä</v>
      </c>
      <c r="E150" s="30"/>
    </row>
    <row r="151" spans="1:5" x14ac:dyDescent="0.35">
      <c r="A151" s="19"/>
      <c r="B151" s="315" t="s">
        <v>38</v>
      </c>
      <c r="C151" s="157">
        <f>'Kustannusarvio|Rakennusselostus'!L142+'Kustannusarvio|Rakennusselostus'!P142</f>
        <v>0</v>
      </c>
      <c r="D151" s="136" t="str" cm="1">
        <f t="array" ref="D151">'Kustannusarvio|Rakennusselostus'!T142:T142</f>
        <v>Ei toimenpiteitä</v>
      </c>
      <c r="E151" s="30"/>
    </row>
    <row r="152" spans="1:5" x14ac:dyDescent="0.35">
      <c r="A152" s="19"/>
      <c r="B152" s="315" t="s">
        <v>155</v>
      </c>
      <c r="C152" s="157">
        <f>'Kustannusarvio|Rakennusselostus'!L143+'Kustannusarvio|Rakennusselostus'!P143</f>
        <v>0</v>
      </c>
      <c r="D152" s="136" t="str" cm="1">
        <f t="array" ref="D152">'Kustannusarvio|Rakennusselostus'!T143:T143</f>
        <v>Ei toimenpiteitä</v>
      </c>
      <c r="E152" s="30"/>
    </row>
    <row r="153" spans="1:5" x14ac:dyDescent="0.35">
      <c r="A153" s="19"/>
      <c r="B153" s="316" t="str">
        <f>SUBSTITUTE(IF('Kustannusarvio|Rakennusselostus'!C144="",'Kustannusarvio|Rakennusselostus'!B144,'Kustannusarvio|Rakennusselostus'!C144),":","")</f>
        <v>Muu kustannus</v>
      </c>
      <c r="C153" s="157">
        <f>'Kustannusarvio|Rakennusselostus'!L144+'Kustannusarvio|Rakennusselostus'!P144</f>
        <v>0</v>
      </c>
      <c r="D153" s="136" t="str" cm="1">
        <f t="array" ref="D153">'Kustannusarvio|Rakennusselostus'!T144:T144</f>
        <v>Ei toimenpiteitä</v>
      </c>
      <c r="E153" s="30"/>
    </row>
    <row r="154" spans="1:5" x14ac:dyDescent="0.35">
      <c r="A154" s="19"/>
      <c r="B154" s="316" t="str">
        <f>SUBSTITUTE(IF('Kustannusarvio|Rakennusselostus'!C145="",'Kustannusarvio|Rakennusselostus'!B145,'Kustannusarvio|Rakennusselostus'!C145),":","")</f>
        <v>Muu kustannus</v>
      </c>
      <c r="C154" s="157">
        <f>'Kustannusarvio|Rakennusselostus'!L145+'Kustannusarvio|Rakennusselostus'!P145</f>
        <v>0</v>
      </c>
      <c r="D154" s="136" t="str" cm="1">
        <f t="array" ref="D154">'Kustannusarvio|Rakennusselostus'!T145:T145</f>
        <v>Ei toimenpiteitä</v>
      </c>
      <c r="E154" s="30"/>
    </row>
    <row r="155" spans="1:5" x14ac:dyDescent="0.35">
      <c r="A155" s="19"/>
      <c r="B155" s="316" t="str">
        <f>SUBSTITUTE(IF('Kustannusarvio|Rakennusselostus'!C146="",'Kustannusarvio|Rakennusselostus'!B146,'Kustannusarvio|Rakennusselostus'!C146),":","")</f>
        <v>Muu kustannus</v>
      </c>
      <c r="C155" s="157">
        <f>'Kustannusarvio|Rakennusselostus'!L146+'Kustannusarvio|Rakennusselostus'!P146</f>
        <v>0</v>
      </c>
      <c r="D155" s="136" t="str" cm="1">
        <f t="array" ref="D155">'Kustannusarvio|Rakennusselostus'!T146:T146</f>
        <v>Ei toimenpiteitä</v>
      </c>
      <c r="E155" s="30"/>
    </row>
    <row r="156" spans="1:5" ht="15" thickBot="1" x14ac:dyDescent="0.4">
      <c r="A156" s="260"/>
      <c r="B156" s="316" t="str">
        <f>SUBSTITUTE(IF('Kustannusarvio|Rakennusselostus'!C147="",'Kustannusarvio|Rakennusselostus'!B147,'Kustannusarvio|Rakennusselostus'!C147),":","")</f>
        <v>Muu kustannus</v>
      </c>
      <c r="C156" s="263">
        <f>'Kustannusarvio|Rakennusselostus'!L147+'Kustannusarvio|Rakennusselostus'!P147</f>
        <v>0</v>
      </c>
      <c r="D156" s="136" t="str" cm="1">
        <f t="array" ref="D156">'Kustannusarvio|Rakennusselostus'!T147:T147</f>
        <v>Ei toimenpiteitä</v>
      </c>
      <c r="E156" s="30"/>
    </row>
    <row r="157" spans="1:5" ht="15" thickTop="1" x14ac:dyDescent="0.35">
      <c r="B157" s="322" t="s">
        <v>205</v>
      </c>
      <c r="C157" s="262">
        <f>SUM(C17:C156)</f>
        <v>0</v>
      </c>
    </row>
  </sheetData>
  <sheetProtection algorithmName="SHA-512" hashValue="utJwuVgvtyyZUS5xPPLrgWk8ob4TVVQZHkoHeDEMzXBJnhJglfYw/PHwHHD/RFatFbbhCHJkUpef5QBQbX3S0Q==" saltValue="FCMGRwV/Xd5sCskxfI7NuQ==" spinCount="100000" sheet="1" objects="1" scenarios="1" formatCells="0" selectLockedCells="1"/>
  <mergeCells count="10">
    <mergeCell ref="C2:D2"/>
    <mergeCell ref="C11:D11"/>
    <mergeCell ref="C8:D8"/>
    <mergeCell ref="C9:D9"/>
    <mergeCell ref="C10:D10"/>
    <mergeCell ref="C3:D3"/>
    <mergeCell ref="C4:D4"/>
    <mergeCell ref="C5:D5"/>
    <mergeCell ref="C6:D6"/>
    <mergeCell ref="C7:D7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Header>&amp;R&amp;10Tulostettu &amp;D</oddHeader>
    <oddFooter>&amp;R&amp;9Lomake tuotettu Outokaira tuottamhan ry:n Vasara ja nauloja -hankkeessa</oddFooter>
  </headerFooter>
  <rowBreaks count="2" manualBreakCount="2">
    <brk id="103" max="16383" man="1"/>
    <brk id="159" max="16383" man="1"/>
  </rowBreaks>
  <colBreaks count="1" manualBreakCount="1">
    <brk id="5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FS2DWTRBMGV27J3BA5A3MC5IXGEMR3QG:ms-officescript%3A%2F%2Fonedrive_business_sharinglink%2Fu!aHR0cHM6Ly9wcmltYW5ldG95LW15LnNoYXJlcG9pbnQuY29tLzp1Oi9nL3BlcnNvbmFsL2phYWtrb19rb3Job25lbl9wcmltYW5ldF9maS9FU0ZocTYtbllRZEJ0Z3VvdVlqSTdnWUJjcGJYSkJhSEFVXzhmU3pZcmstcGVn"/>
</scriptIds>
</file>

<file path=customXml/itemProps1.xml><?xml version="1.0" encoding="utf-8"?>
<ds:datastoreItem xmlns:ds="http://schemas.openxmlformats.org/officeDocument/2006/customXml" ds:itemID="{D9B770F4-92E2-4104-93E5-BD6BAC5EF8B2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14</vt:i4>
      </vt:variant>
    </vt:vector>
  </HeadingPairs>
  <TitlesOfParts>
    <vt:vector size="20" baseType="lpstr">
      <vt:lpstr>Ohje</vt:lpstr>
      <vt:lpstr>Hankkeen tiedot</vt:lpstr>
      <vt:lpstr>Kustannusarvio|Rakennusselostus</vt:lpstr>
      <vt:lpstr>Kustannusarvion koonti</vt:lpstr>
      <vt:lpstr>Talkootyön koonti</vt:lpstr>
      <vt:lpstr>Rakennusselostus koonti</vt:lpstr>
      <vt:lpstr>'Hankkeen tiedot'!Print_Area</vt:lpstr>
      <vt:lpstr>'Kustannusarvio|Rakennusselostus'!Print_Area</vt:lpstr>
      <vt:lpstr>'Kustannusarvion koonti'!Print_Area</vt:lpstr>
      <vt:lpstr>'Rakennusselostus koonti'!Print_Area</vt:lpstr>
      <vt:lpstr>'Talkootyön koonti'!Print_Area</vt:lpstr>
      <vt:lpstr>'Kustannusarvio|Rakennusselostus'!Print_Titles</vt:lpstr>
      <vt:lpstr>'Kustannusarvion koonti'!Print_Titles</vt:lpstr>
      <vt:lpstr>'Talkootyön koonti'!Print_Titles</vt:lpstr>
      <vt:lpstr>'Kustannusarvio|Rakennusselostus'!Tulostusalue</vt:lpstr>
      <vt:lpstr>'Kustannusarvion koonti'!Tulostusalue</vt:lpstr>
      <vt:lpstr>Ohje!Tulostusalue</vt:lpstr>
      <vt:lpstr>'Rakennusselostus koonti'!Tulostusalue</vt:lpstr>
      <vt:lpstr>'Talkootyön koonti'!Tulostusalue</vt:lpstr>
      <vt:lpstr>'Rakennusselostus koonti'!Tulostusotsikot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Hannu Rinne</cp:lastModifiedBy>
  <cp:lastPrinted>2024-08-07T06:11:08Z</cp:lastPrinted>
  <dcterms:created xsi:type="dcterms:W3CDTF">2023-03-30T06:52:04Z</dcterms:created>
  <dcterms:modified xsi:type="dcterms:W3CDTF">2024-11-21T07:28:13Z</dcterms:modified>
</cp:coreProperties>
</file>